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27CBB96-3740-423B-A3D6-80F8183C25FB}" xr6:coauthVersionLast="47" xr6:coauthVersionMax="47" xr10:uidLastSave="{00000000-0000-0000-0000-000000000000}"/>
  <bookViews>
    <workbookView xWindow="-120" yWindow="-120" windowWidth="29040" windowHeight="15840" tabRatio="599" activeTab="13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9" l="1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4" s="1"/>
  <c r="N14" i="14"/>
  <c r="N13" i="14"/>
  <c r="N12" i="14"/>
  <c r="N11" i="14"/>
  <c r="N10" i="14"/>
  <c r="N9" i="14"/>
  <c r="N8" i="14"/>
  <c r="N7" i="14"/>
  <c r="N6" i="14"/>
  <c r="N5" i="14"/>
  <c r="AV3" i="19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Q1" i="19" l="1"/>
  <c r="B16" i="15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<sst xmlns="http://schemas.openxmlformats.org/spreadsheetml/2006/main" count="673" uniqueCount="64">
  <si>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</si>
  <si>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</si>
  <si>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</si>
  <si>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</si>
  <si>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</si>
  <si>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</si>
  <si>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</si>
  <si>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</si>
  <si>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</si>
  <si>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</si>
  <si>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</si>
  <si>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</si>
  <si>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</si>
  <si>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</si>
  <si>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</si>
  <si>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</si>
  <si>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</si>
  <si>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</si>
  <si>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</si>
  <si>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</si>
  <si>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</si>
  <si>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</si>
  <si>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</si>
  <si>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</si>
  <si>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</si>
  <si>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</si>
  <si>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</si>
  <si>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</si>
  <si>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</si>
  <si>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</si>
  <si>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</si>
  <si>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</si>
  <si>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</si>
  <si>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</si>
  <si>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</si>
  <si>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</si>
  <si>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</si>
  <si>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</si>
  <si>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</si>
  <si>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</si>
  <si>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</si>
  <si>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</si>
  <si>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</si>
  <si>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</si>
  <si>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</si>
  <si>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</si>
  <si>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</si>
  <si>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</si>
  <si>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</si>
  <si>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</si>
  <si>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</si>
  <si>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</si>
  <si>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</si>
  <si>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</si>
  <si>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</si>
  <si>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</si>
  <si>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</si>
  <si>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</si>
  <si>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</si>
  <si>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</si>
  <si>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</si>
  <si>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</si>
  <si>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</si>
  <si>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14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</si>
</sst>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178.72899999999998</c:v>
                </c:pt>
                <c:pt idx="1">
                  <c:v>231.23899999999867</c:v>
                </c:pt>
                <c:pt idx="2">
                  <c:v>123.14199999999997</c:v>
                </c:pt>
                <c:pt idx="3">
                  <c:v>178.24900000000071</c:v>
                </c:pt>
                <c:pt idx="4">
                  <c:v>212.06499999999869</c:v>
                </c:pt>
                <c:pt idx="5">
                  <c:v>161.26200000000154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JUNIO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5076.2169999999996</c:v>
                </c:pt>
                <c:pt idx="1">
                  <c:v>5071.6970000000001</c:v>
                </c:pt>
                <c:pt idx="2">
                  <c:v>5001.5909999999994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JUNIO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-117.7579999999989</c:v>
                </c:pt>
                <c:pt idx="1">
                  <c:v>37.000999999999998</c:v>
                </c:pt>
                <c:pt idx="2">
                  <c:v>-61.539000000000001</c:v>
                </c:pt>
                <c:pt idx="3">
                  <c:v>88.7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JUNIO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173.89400000000001</c:v>
                </c:pt>
                <c:pt idx="1">
                  <c:v>0</c:v>
                </c:pt>
                <c:pt idx="2">
                  <c:v>74.088999999999999</c:v>
                </c:pt>
                <c:pt idx="3">
                  <c:v>0.72100000000000364</c:v>
                </c:pt>
                <c:pt idx="4">
                  <c:v>137.31100000000001</c:v>
                </c:pt>
                <c:pt idx="5">
                  <c:v>0</c:v>
                </c:pt>
                <c:pt idx="6">
                  <c:v>95.748999999999995</c:v>
                </c:pt>
                <c:pt idx="7">
                  <c:v>10.093999999999999</c:v>
                </c:pt>
                <c:pt idx="8">
                  <c:v>0</c:v>
                </c:pt>
                <c:pt idx="9">
                  <c:v>648.99199999999996</c:v>
                </c:pt>
                <c:pt idx="10">
                  <c:v>0</c:v>
                </c:pt>
                <c:pt idx="11">
                  <c:v>0</c:v>
                </c:pt>
                <c:pt idx="12">
                  <c:v>36.81</c:v>
                </c:pt>
                <c:pt idx="13">
                  <c:v>0</c:v>
                </c:pt>
                <c:pt idx="14">
                  <c:v>794.64599999999996</c:v>
                </c:pt>
                <c:pt idx="15">
                  <c:v>0</c:v>
                </c:pt>
                <c:pt idx="16">
                  <c:v>189.79</c:v>
                </c:pt>
                <c:pt idx="17">
                  <c:v>22.378</c:v>
                </c:pt>
                <c:pt idx="18">
                  <c:v>4.2850000000000001</c:v>
                </c:pt>
                <c:pt idx="19">
                  <c:v>31.623000000000001</c:v>
                </c:pt>
                <c:pt idx="20">
                  <c:v>0</c:v>
                </c:pt>
                <c:pt idx="21">
                  <c:v>1689.8719999999998</c:v>
                </c:pt>
                <c:pt idx="22">
                  <c:v>37.173000000000002</c:v>
                </c:pt>
                <c:pt idx="23">
                  <c:v>0</c:v>
                </c:pt>
                <c:pt idx="24">
                  <c:v>0</c:v>
                </c:pt>
                <c:pt idx="25">
                  <c:v>0.7</c:v>
                </c:pt>
                <c:pt idx="26">
                  <c:v>0</c:v>
                </c:pt>
                <c:pt idx="27">
                  <c:v>425.28399999999999</c:v>
                </c:pt>
                <c:pt idx="28">
                  <c:v>19.661000000000001</c:v>
                </c:pt>
                <c:pt idx="29">
                  <c:v>156.24799999999999</c:v>
                </c:pt>
                <c:pt idx="30">
                  <c:v>10.055999999999999</c:v>
                </c:pt>
                <c:pt idx="31">
                  <c:v>6.45</c:v>
                </c:pt>
                <c:pt idx="32">
                  <c:v>274.50299999999999</c:v>
                </c:pt>
                <c:pt idx="33">
                  <c:v>161.26200000000154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5627.2970000000005</c:v>
                </c:pt>
                <c:pt idx="1">
                  <c:v>5219.4040000000005</c:v>
                </c:pt>
                <c:pt idx="2">
                  <c:v>5229.4089999999997</c:v>
                </c:pt>
                <c:pt idx="3">
                  <c:v>5268.62</c:v>
                </c:pt>
                <c:pt idx="4">
                  <c:v>5632.6569999999992</c:v>
                </c:pt>
                <c:pt idx="5">
                  <c:v>5001.5909999999994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-8.9480000000003201</c:v>
                </c:pt>
                <c:pt idx="2">
                  <c:v>-95.347999999999956</c:v>
                </c:pt>
                <c:pt idx="3">
                  <c:v>48.972000000000662</c:v>
                </c:pt>
                <c:pt idx="4">
                  <c:v>25.162999999999556</c:v>
                </c:pt>
                <c:pt idx="5">
                  <c:v>-117.7579999999989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810.17700000000002</c:v>
                </c:pt>
                <c:pt idx="4">
                  <c:v>141.053</c:v>
                </c:pt>
                <c:pt idx="5">
                  <c:v>37.000999999999998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170.74199999999996</c:v>
                </c:pt>
                <c:pt idx="1">
                  <c:v>12.411000000000001</c:v>
                </c:pt>
                <c:pt idx="2">
                  <c:v>-72.739000000000033</c:v>
                </c:pt>
                <c:pt idx="3">
                  <c:v>88.158000000000015</c:v>
                </c:pt>
                <c:pt idx="4">
                  <c:v>44.699000000000012</c:v>
                </c:pt>
                <c:pt idx="5">
                  <c:v>-61.539000000000001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59.488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45.326999999999998</c:v>
                </c:pt>
                <c:pt idx="4">
                  <c:v>27.544999999999998</c:v>
                </c:pt>
                <c:pt idx="5">
                  <c:v>88.7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103.84400000000005</c:v>
                </c:pt>
                <c:pt idx="1">
                  <c:v>263.03199999999924</c:v>
                </c:pt>
                <c:pt idx="2">
                  <c:v>95.601000000001477</c:v>
                </c:pt>
                <c:pt idx="3">
                  <c:v>218.8100000000004</c:v>
                </c:pt>
                <c:pt idx="4">
                  <c:v>156.52600000000075</c:v>
                </c:pt>
                <c:pt idx="5">
                  <c:v>70.106000000000677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5481.2889999999998</c:v>
                </c:pt>
                <c:pt idx="4">
                  <c:v>5781.174</c:v>
                </c:pt>
                <c:pt idx="5">
                  <c:v>5039.2160000000003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5731.1409999999996</c:v>
                </c:pt>
                <c:pt idx="1">
                  <c:v>5482.4359999999997</c:v>
                </c:pt>
                <c:pt idx="2">
                  <c:v>5325.0100000000011</c:v>
                </c:pt>
                <c:pt idx="3">
                  <c:v>5487.43</c:v>
                </c:pt>
                <c:pt idx="4">
                  <c:v>5789.1830000000009</c:v>
                </c:pt>
                <c:pt idx="5">
                  <c:v>5071.6970000000001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794.64599999999996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254.19</c:v>
                </c:pt>
                <c:pt idx="1">
                  <c:v>218.411</c:v>
                </c:pt>
                <c:pt idx="2">
                  <c:v>292.517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24.413</c:v>
                </c:pt>
                <c:pt idx="5">
                  <c:v>31.623000000000001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1932.47</c:v>
                </c:pt>
                <c:pt idx="1">
                  <c:v>1785.873</c:v>
                </c:pt>
                <c:pt idx="2">
                  <c:v>1766.7179999999998</c:v>
                </c:pt>
                <c:pt idx="3">
                  <c:v>1751.6610000000001</c:v>
                </c:pt>
                <c:pt idx="4">
                  <c:v>1896.3790000000001</c:v>
                </c:pt>
                <c:pt idx="5">
                  <c:v>1689.8719999999998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17.826000000000001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47625</xdr:colOff>
      <xdr:row>0</xdr:row>
      <xdr:rowOff>57150</xdr:rowOff>
    </xdr:from>
    <xdr:to>
      <xdr:col>3</xdr:col>
      <xdr:colOff>673365</xdr:colOff>
      <xdr:row>4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526BC5-A816-3F9F-29E4-59430419E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91174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showGridLines="0" zoomScale="85" zoomScaleNormal="85" workbookViewId="0"/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tr">
        <f>'2024'!AV3</f>
        <v>JUNIO 2024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63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J58" sqref="J58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T34" sqref="T34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>
        <v>148.30399999999827</v>
      </c>
      <c r="M14" s="28">
        <v>98.569999999998799</v>
      </c>
      <c r="N14" s="29">
        <f t="shared" si="0"/>
        <v>991.699999999998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f t="shared" ref="B15:M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>
        <f t="shared" si="1"/>
        <v>4955.7249999999995</v>
      </c>
      <c r="M15" s="24">
        <f t="shared" si="1"/>
        <v>5480.3830000000007</v>
      </c>
      <c r="N15" s="25">
        <f t="shared" si="0"/>
        <v>61473.311999999991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2094.491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>
        <v>38.592000000000013</v>
      </c>
      <c r="M19" s="2">
        <v>35.778000000000006</v>
      </c>
      <c r="N19" s="4">
        <f t="shared" si="0"/>
        <v>138.84900000000005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945.81700000000001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83.861999999999995</v>
      </c>
      <c r="M32" s="2">
        <v>202.62200000000001</v>
      </c>
      <c r="N32" s="4">
        <f t="shared" si="0"/>
        <v>2479.116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22082.314000000002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142.107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3457.4449999999997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>
        <v>124.83499999999998</v>
      </c>
      <c r="M49" s="5">
        <v>161.97200000000066</v>
      </c>
      <c r="N49" s="6">
        <f t="shared" si="0"/>
        <v>1605.8290000000018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abSelected="1" zoomScale="70" zoomScaleNormal="70" workbookViewId="0">
      <selection activeCell="P36" sqref="P36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tr">
        <f>"MOVIMIENTO DE CRUDOS Y OBTENCIÓN DE PRODUCTOS PETROLÍFEROS - " &amp;AV3</f>
        <v>MOVIMIENTO DE CRUDOS Y OBTENCIÓN DE PRODUCTOS PETROLÍFEROS - JUNIO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tr">
        <f>UPPER(TEXT(MAXA(B4:M4),"mmmm aaaa"))</f>
        <v>JUNIO 2024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/>
      <c r="I4" s="14"/>
      <c r="J4" s="14"/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/>
      <c r="I5" s="45"/>
      <c r="J5" s="19"/>
      <c r="K5" s="19"/>
      <c r="L5" s="19"/>
      <c r="M5" s="19"/>
      <c r="N5" s="20">
        <f>SUM(B5:M5)</f>
        <v>0.23299999999999998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/>
      <c r="I6" s="24"/>
      <c r="J6" s="24"/>
      <c r="K6" s="24"/>
      <c r="L6" s="24"/>
      <c r="M6" s="24"/>
      <c r="N6" s="25">
        <f>SUM(B6:M6)</f>
        <v>33534.79</v>
      </c>
      <c r="P6" s="34"/>
      <c r="Q6" s="34"/>
      <c r="R6" s="47"/>
      <c r="AS6" s="32"/>
      <c r="AT6" s="74"/>
      <c r="AU6" s="75" t="str">
        <f>A6</f>
        <v>IMPORTACIONES DE CRUDO</v>
      </c>
      <c r="AV6" s="76">
        <f>HLOOKUP(MAXA(B4:M4),$B$4:$M$6,3,FALSE)</f>
        <v>5076.2169999999996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-8.9480000000003201</v>
      </c>
      <c r="D7" s="28">
        <v>-95.347999999999956</v>
      </c>
      <c r="E7" s="28">
        <v>48.972000000000662</v>
      </c>
      <c r="F7" s="28">
        <v>25.162999999999556</v>
      </c>
      <c r="G7" s="28">
        <v>-117.7579999999989</v>
      </c>
      <c r="H7" s="28"/>
      <c r="I7" s="28"/>
      <c r="J7" s="28"/>
      <c r="K7" s="28"/>
      <c r="L7" s="28"/>
      <c r="M7" s="28"/>
      <c r="N7" s="29">
        <f t="shared" ref="N7:N49" si="0">SUM(B7:M7)</f>
        <v>-27.124999999999091</v>
      </c>
      <c r="P7" s="34"/>
      <c r="Q7" s="34"/>
      <c r="R7" s="47"/>
      <c r="AS7" s="32"/>
      <c r="AT7" s="74"/>
      <c r="AU7" s="75" t="str">
        <f>A12</f>
        <v>TOTAL PROCESADO</v>
      </c>
      <c r="AV7" s="76">
        <f>HLOOKUP(MAXA(B4:M4),$B$4:$M$12,9,FALSE)</f>
        <v>5071.6970000000001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810.17700000000002</v>
      </c>
      <c r="F8" s="28">
        <v>141.053</v>
      </c>
      <c r="G8" s="28">
        <v>37.000999999999998</v>
      </c>
      <c r="H8" s="28"/>
      <c r="I8" s="28"/>
      <c r="J8" s="28"/>
      <c r="K8" s="28"/>
      <c r="L8" s="28"/>
      <c r="M8" s="28"/>
      <c r="N8" s="29">
        <f t="shared" si="0"/>
        <v>712.88700000000006</v>
      </c>
      <c r="P8" s="34"/>
      <c r="Q8" s="34"/>
      <c r="R8" s="47"/>
      <c r="AS8" s="32"/>
      <c r="AT8" s="74"/>
      <c r="AU8" s="75" t="str">
        <f>A15</f>
        <v>PRODUCCION BRUTA DE REFINERIA</v>
      </c>
      <c r="AV8" s="76">
        <f>HLOOKUP(MAXA(B4:M4),$B$4:$M$15,12,FALSE)</f>
        <v>5001.5909999999994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170.74199999999996</v>
      </c>
      <c r="C9" s="28">
        <v>12.411000000000001</v>
      </c>
      <c r="D9" s="28">
        <v>-72.739000000000033</v>
      </c>
      <c r="E9" s="28">
        <v>88.158000000000015</v>
      </c>
      <c r="F9" s="28">
        <v>44.699000000000012</v>
      </c>
      <c r="G9" s="28">
        <v>-61.539000000000001</v>
      </c>
      <c r="H9" s="28"/>
      <c r="I9" s="28"/>
      <c r="J9" s="28"/>
      <c r="K9" s="28"/>
      <c r="L9" s="28"/>
      <c r="M9" s="28"/>
      <c r="N9" s="29">
        <f t="shared" si="0"/>
        <v>181.73199999999997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59.488</v>
      </c>
      <c r="C10" s="28">
        <v>22.417999999999999</v>
      </c>
      <c r="D10" s="28">
        <v>30.14</v>
      </c>
      <c r="E10" s="28">
        <v>45.326999999999998</v>
      </c>
      <c r="F10" s="28">
        <v>27.544999999999998</v>
      </c>
      <c r="G10" s="28">
        <v>88.7</v>
      </c>
      <c r="H10" s="28"/>
      <c r="I10" s="28"/>
      <c r="J10" s="28"/>
      <c r="K10" s="28"/>
      <c r="L10" s="28"/>
      <c r="M10" s="28"/>
      <c r="N10" s="29">
        <f t="shared" si="0"/>
        <v>273.61799999999999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/>
      <c r="I11" s="28"/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4"/>
      <c r="AU11" s="75" t="str">
        <f>A7</f>
        <v>IMPORTACIONES DE PROD. INTERMEDIOS Y MAT. AUXILIARES</v>
      </c>
      <c r="AV11" s="76">
        <f>HLOOKUP(MAXA(B4:M4),$B$4:$M$15,4,FALSE)</f>
        <v>-117.7579999999989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5731.1409999999996</v>
      </c>
      <c r="C12" s="24">
        <v>5482.4359999999997</v>
      </c>
      <c r="D12" s="24">
        <v>5325.0100000000011</v>
      </c>
      <c r="E12" s="24">
        <v>5487.43</v>
      </c>
      <c r="F12" s="24">
        <v>5789.1830000000009</v>
      </c>
      <c r="G12" s="24">
        <v>5071.6970000000001</v>
      </c>
      <c r="H12" s="24"/>
      <c r="I12" s="24"/>
      <c r="J12" s="24"/>
      <c r="K12" s="24"/>
      <c r="L12" s="24"/>
      <c r="M12" s="24"/>
      <c r="N12" s="25">
        <f>SUM(B12:M12)</f>
        <v>32886.896999999997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tr">
        <f>A8</f>
        <v>VARIACION DE STOCKS DE CRUDOS (Ef-Ei)</v>
      </c>
      <c r="AV12" s="78">
        <f>HLOOKUP(MAXA(B4:M4),$B$4:$M$15,5,FALSE)</f>
        <v>37.000999999999998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5481.2889999999998</v>
      </c>
      <c r="F13" s="28">
        <v>5781.174</v>
      </c>
      <c r="G13" s="28">
        <v>5039.2160000000003</v>
      </c>
      <c r="H13" s="28"/>
      <c r="I13" s="28"/>
      <c r="J13" s="28"/>
      <c r="K13" s="28"/>
      <c r="L13" s="28"/>
      <c r="M13" s="28"/>
      <c r="N13" s="29">
        <f t="shared" si="0"/>
        <v>32822.135999999999</v>
      </c>
      <c r="P13" s="34"/>
      <c r="Q13" s="34"/>
      <c r="R13" s="47"/>
      <c r="AS13" s="32"/>
      <c r="AT13" s="74"/>
      <c r="AU13" s="75" t="str">
        <f>A9</f>
        <v>APROVISIONAMIENTO DE PROD. INTERMEDIOS Y MAT. AUXILIARES</v>
      </c>
      <c r="AV13" s="76">
        <f>HLOOKUP(MAXA(B4:M4),$B$4:$M$15,6,FALSE)</f>
        <v>-61.539000000000001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103.84400000000005</v>
      </c>
      <c r="C14" s="28">
        <v>263.03199999999924</v>
      </c>
      <c r="D14" s="28">
        <v>95.601000000001477</v>
      </c>
      <c r="E14" s="28">
        <v>218.8100000000004</v>
      </c>
      <c r="F14" s="28">
        <v>156.52600000000075</v>
      </c>
      <c r="G14" s="28">
        <v>70.106000000000677</v>
      </c>
      <c r="H14" s="28"/>
      <c r="I14" s="46"/>
      <c r="J14" s="28"/>
      <c r="K14" s="28"/>
      <c r="L14" s="28"/>
      <c r="M14" s="28"/>
      <c r="N14" s="29">
        <f t="shared" si="0"/>
        <v>907.9190000000026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tr">
        <f>A10</f>
        <v>PRODUCTOS TRASPASADOS Y BACKFLOWS</v>
      </c>
      <c r="AV14" s="76">
        <f>HLOOKUP(MAXA(B4:M4),$B$4:$M$15,7,FALSE)</f>
        <v>88.7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5627.2970000000005</v>
      </c>
      <c r="C15" s="24">
        <v>5219.4040000000005</v>
      </c>
      <c r="D15" s="24">
        <v>5229.4089999999997</v>
      </c>
      <c r="E15" s="24">
        <v>5268.62</v>
      </c>
      <c r="F15" s="24">
        <v>5632.6569999999992</v>
      </c>
      <c r="G15" s="24">
        <v>5001.5909999999994</v>
      </c>
      <c r="H15" s="24"/>
      <c r="I15" s="24"/>
      <c r="J15" s="24"/>
      <c r="K15" s="24"/>
      <c r="L15" s="24"/>
      <c r="M15" s="24"/>
      <c r="N15" s="25">
        <f t="shared" si="0"/>
        <v>31978.977999999999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tr">
        <f>A11</f>
        <v>CONSUMO DIRECTO DE CRUDO</v>
      </c>
      <c r="AV15" s="76">
        <f>HLOOKUP(MAXA(B4:M4),$B$4:$M$15,8,FALSE)</f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/>
      <c r="I16" s="2"/>
      <c r="J16" s="2"/>
      <c r="K16" s="2"/>
      <c r="L16" s="2"/>
      <c r="M16" s="2"/>
      <c r="N16" s="4">
        <f t="shared" si="0"/>
        <v>1009.296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/>
      <c r="I17" s="2"/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tr">
        <f>A16</f>
        <v>Gas Refinería</v>
      </c>
      <c r="AV17" s="80">
        <f>HLOOKUP(MAXA(B4:M4),$B$4:$M$49,13,FALSE)</f>
        <v>173.89400000000001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/>
      <c r="I18" s="2"/>
      <c r="J18" s="2"/>
      <c r="K18" s="2"/>
      <c r="L18" s="2"/>
      <c r="M18" s="2"/>
      <c r="N18" s="4">
        <f t="shared" si="0"/>
        <v>551.83199999999999</v>
      </c>
      <c r="AU18" s="79" t="str">
        <f t="shared" ref="AU18:AU50" si="1">A17</f>
        <v>Etano</v>
      </c>
      <c r="AV18" s="80">
        <f>HLOOKUP(MAXA(B4:M4),$B$4:$M$49,14,FALSE)</f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/>
      <c r="I19" s="2"/>
      <c r="J19" s="2"/>
      <c r="K19" s="2"/>
      <c r="L19" s="2"/>
      <c r="M19" s="2"/>
      <c r="N19" s="4">
        <f t="shared" si="0"/>
        <v>53.512999999999991</v>
      </c>
      <c r="AU19" s="79" t="str">
        <f t="shared" si="1"/>
        <v>Butano</v>
      </c>
      <c r="AV19" s="80">
        <f>HLOOKUP(MAXA(B4:M4),$B$4:$M$49,15,FALSE)</f>
        <v>74.088999999999999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/>
      <c r="I20" s="2"/>
      <c r="J20" s="2"/>
      <c r="K20" s="2"/>
      <c r="L20" s="2"/>
      <c r="M20" s="2"/>
      <c r="N20" s="4">
        <f t="shared" si="0"/>
        <v>880.34800000000007</v>
      </c>
      <c r="AU20" s="79" t="str">
        <f t="shared" si="1"/>
        <v>Propano</v>
      </c>
      <c r="AV20" s="80">
        <f>HLOOKUP(MAXA(B4:M4),$B$4:$M$49,16,FALSE)</f>
        <v>0.72100000000000364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/>
      <c r="I21" s="2"/>
      <c r="J21" s="2"/>
      <c r="K21" s="2"/>
      <c r="L21" s="2"/>
      <c r="M21" s="2"/>
      <c r="N21" s="4">
        <f t="shared" si="0"/>
        <v>0</v>
      </c>
      <c r="AU21" s="79" t="str">
        <f t="shared" si="1"/>
        <v>Nafta</v>
      </c>
      <c r="AV21" s="80">
        <f>HLOOKUP(MAXA(B4:M4),$B$4:$M$49,17,FALSE)</f>
        <v>137.31100000000001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/>
      <c r="I22" s="2"/>
      <c r="J22" s="2"/>
      <c r="K22" s="2"/>
      <c r="L22" s="2"/>
      <c r="M22" s="2"/>
      <c r="N22" s="4">
        <f t="shared" si="0"/>
        <v>614.97500000000002</v>
      </c>
      <c r="AU22" s="79" t="str">
        <f t="shared" si="1"/>
        <v>Gasolina 97 I.O.</v>
      </c>
      <c r="AV22" s="80">
        <f>HLOOKUP(MAXA(B4:M4),$B$4:$M$49,18,FALSE)</f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/>
      <c r="I23" s="2"/>
      <c r="J23" s="2"/>
      <c r="K23" s="2"/>
      <c r="L23" s="2"/>
      <c r="M23" s="2"/>
      <c r="N23" s="4">
        <f t="shared" si="0"/>
        <v>54.148000000000003</v>
      </c>
      <c r="AU23" s="79" t="str">
        <f t="shared" si="1"/>
        <v>Gasolina 95 I.O.</v>
      </c>
      <c r="AV23" s="80">
        <f>HLOOKUP(MAXA(B4:M4),$B$4:$M$49,19,FALSE)</f>
        <v>95.748999999999995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/>
      <c r="I24" s="2"/>
      <c r="J24" s="2"/>
      <c r="K24" s="2"/>
      <c r="L24" s="2"/>
      <c r="M24" s="2"/>
      <c r="N24" s="4">
        <f t="shared" si="0"/>
        <v>0</v>
      </c>
      <c r="AU24" s="79" t="str">
        <f t="shared" si="1"/>
        <v>Gasolina 98 I.O.</v>
      </c>
      <c r="AV24" s="80">
        <f>HLOOKUP(MAXA(B4:M4),$B$4:$M$49,20,FALSE)</f>
        <v>10.093999999999999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/>
      <c r="I25" s="2"/>
      <c r="J25" s="2"/>
      <c r="K25" s="2"/>
      <c r="L25" s="2"/>
      <c r="M25" s="2"/>
      <c r="N25" s="4">
        <f t="shared" si="0"/>
        <v>4121.9530000000004</v>
      </c>
      <c r="AU25" s="79" t="str">
        <f t="shared" si="1"/>
        <v>Gasolina de Aviación</v>
      </c>
      <c r="AV25" s="80">
        <f>HLOOKUP(MAXA(B4:M4),$B$4:$M$49,21,FALSE)</f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/>
      <c r="I26" s="2"/>
      <c r="J26" s="2"/>
      <c r="K26" s="2"/>
      <c r="L26" s="2"/>
      <c r="M26" s="2"/>
      <c r="N26" s="4">
        <f t="shared" si="0"/>
        <v>0</v>
      </c>
      <c r="AU26" s="79" t="str">
        <f t="shared" si="1"/>
        <v>Otras Gasolinas</v>
      </c>
      <c r="AV26" s="80">
        <f>HLOOKUP(MAXA(B4:M4),$B$4:$M$49,22,FALSE)</f>
        <v>648.99199999999996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/>
      <c r="I27" s="2"/>
      <c r="J27" s="2"/>
      <c r="K27" s="2"/>
      <c r="L27" s="2"/>
      <c r="M27" s="2"/>
      <c r="N27" s="4">
        <f t="shared" si="0"/>
        <v>0</v>
      </c>
      <c r="AU27" s="79" t="str">
        <f t="shared" si="1"/>
        <v>Bioetanol</v>
      </c>
      <c r="AV27" s="80">
        <f>HLOOKUP(MAXA(B4:M4),$B$4:$M$49,23,FALSE)</f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/>
      <c r="I28" s="2"/>
      <c r="J28" s="2"/>
      <c r="K28" s="2"/>
      <c r="L28" s="2"/>
      <c r="M28" s="2"/>
      <c r="N28" s="4">
        <f t="shared" si="0"/>
        <v>262.755</v>
      </c>
      <c r="AU28" s="79" t="str">
        <f t="shared" si="1"/>
        <v>Gasolinas Mezcla</v>
      </c>
      <c r="AV28" s="80">
        <f>HLOOKUP(MAXA(B4:M4),$B$4:$M$49,24,FALSE)</f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/>
      <c r="I29" s="2"/>
      <c r="J29" s="2"/>
      <c r="K29" s="2"/>
      <c r="L29" s="2"/>
      <c r="M29" s="2"/>
      <c r="N29" s="4">
        <f t="shared" si="0"/>
        <v>0</v>
      </c>
      <c r="AU29" s="79" t="str">
        <f t="shared" si="1"/>
        <v>Queroseno aviac. Jet A1</v>
      </c>
      <c r="AV29" s="80">
        <f>HLOOKUP(MAXA(B4:M4),$B$4:$M$49,25,FALSE)</f>
        <v>36.81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794.64599999999996</v>
      </c>
      <c r="H30" s="2"/>
      <c r="I30" s="2"/>
      <c r="J30" s="2"/>
      <c r="K30" s="2"/>
      <c r="L30" s="2"/>
      <c r="M30" s="2"/>
      <c r="N30" s="4">
        <f t="shared" si="0"/>
        <v>4997.1179999999995</v>
      </c>
      <c r="AU30" s="79" t="str">
        <f t="shared" si="1"/>
        <v>Queroseno aviac. Jet A2</v>
      </c>
      <c r="AV30" s="80">
        <f>HLOOKUP(MAXA(B4:M4),$B$4:$M$49,26,FALSE)</f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/>
      <c r="I31" s="2"/>
      <c r="J31" s="2"/>
      <c r="K31" s="2"/>
      <c r="L31" s="2"/>
      <c r="M31" s="2"/>
      <c r="N31" s="4">
        <f t="shared" si="0"/>
        <v>0</v>
      </c>
      <c r="AU31" s="79" t="str">
        <f t="shared" si="1"/>
        <v>Otros Querosenos</v>
      </c>
      <c r="AV31" s="80">
        <f>HLOOKUP(MAXA(B4:M4),$B$4:$M$49,27,FALSE)</f>
        <v>794.64599999999996</v>
      </c>
      <c r="AW31" s="80"/>
    </row>
    <row r="32" spans="1:49" ht="16.5" customHeight="1" x14ac:dyDescent="0.2">
      <c r="A32" s="9" t="s">
        <v>30</v>
      </c>
      <c r="B32" s="3">
        <v>254.19</v>
      </c>
      <c r="C32" s="2">
        <v>218.411</v>
      </c>
      <c r="D32" s="2">
        <v>292.517</v>
      </c>
      <c r="E32" s="2">
        <v>271.846</v>
      </c>
      <c r="F32" s="2">
        <v>268.11700000000002</v>
      </c>
      <c r="G32" s="2">
        <v>189.79</v>
      </c>
      <c r="H32" s="2"/>
      <c r="I32" s="2"/>
      <c r="J32" s="2"/>
      <c r="K32" s="2"/>
      <c r="L32" s="2"/>
      <c r="M32" s="2"/>
      <c r="N32" s="4">
        <f t="shared" si="0"/>
        <v>1494.8709999999999</v>
      </c>
      <c r="AU32" s="79" t="str">
        <f t="shared" si="1"/>
        <v>Gasóleo A</v>
      </c>
      <c r="AV32" s="80">
        <f>HLOOKUP(MAXA(B4:M4),$B$4:$M$49,28,FALSE)</f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/>
      <c r="I33" s="2"/>
      <c r="J33" s="2"/>
      <c r="K33" s="2"/>
      <c r="L33" s="2"/>
      <c r="M33" s="2"/>
      <c r="N33" s="4">
        <f t="shared" si="0"/>
        <v>190.83299999999997</v>
      </c>
      <c r="AU33" s="79" t="str">
        <f t="shared" si="1"/>
        <v>Gasóleo A 10 PPM</v>
      </c>
      <c r="AV33" s="80">
        <f>HLOOKUP(MAXA(B4:M4),$B$4:$M$49,29,FALSE)</f>
        <v>189.79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/>
      <c r="I34" s="2"/>
      <c r="J34" s="2"/>
      <c r="K34" s="2"/>
      <c r="L34" s="2"/>
      <c r="M34" s="2"/>
      <c r="N34" s="4">
        <f t="shared" si="0"/>
        <v>58.572999999999993</v>
      </c>
      <c r="AU34" s="79" t="str">
        <f t="shared" si="1"/>
        <v>Gasóleo B</v>
      </c>
      <c r="AV34" s="80">
        <f>HLOOKUP(MAXA(B4:M4),$B$4:$M$49,30,FALSE)</f>
        <v>22.378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24.413</v>
      </c>
      <c r="G35" s="2">
        <v>31.623000000000001</v>
      </c>
      <c r="H35" s="2"/>
      <c r="I35" s="2"/>
      <c r="J35" s="2"/>
      <c r="K35" s="2"/>
      <c r="L35" s="2"/>
      <c r="M35" s="2"/>
      <c r="N35" s="4">
        <f t="shared" si="0"/>
        <v>296.54599999999999</v>
      </c>
      <c r="AU35" s="79" t="str">
        <f t="shared" si="1"/>
        <v>Gasóleo C</v>
      </c>
      <c r="AV35" s="80">
        <f>HLOOKUP(MAXA(B4:M4),$B$4:$M$49,31,FALSE)</f>
        <v>4.2850000000000001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/>
      <c r="I36" s="2"/>
      <c r="J36" s="2"/>
      <c r="K36" s="2"/>
      <c r="L36" s="2"/>
      <c r="M36" s="2"/>
      <c r="N36" s="4">
        <f t="shared" si="0"/>
        <v>0</v>
      </c>
      <c r="AU36" s="79" t="str">
        <f t="shared" si="1"/>
        <v>Gasóleo para uso marítimo</v>
      </c>
      <c r="AV36" s="80">
        <f>HLOOKUP(MAXA(B4:M4),$B$4:$M$49,32,FALSE)</f>
        <v>31.623000000000001</v>
      </c>
      <c r="AW36" s="80"/>
    </row>
    <row r="37" spans="1:49" ht="16.5" customHeight="1" x14ac:dyDescent="0.2">
      <c r="A37" s="9" t="s">
        <v>35</v>
      </c>
      <c r="B37" s="3">
        <v>1932.47</v>
      </c>
      <c r="C37" s="2">
        <v>1785.873</v>
      </c>
      <c r="D37" s="2">
        <v>1766.7179999999998</v>
      </c>
      <c r="E37" s="2">
        <v>1751.6610000000001</v>
      </c>
      <c r="F37" s="2">
        <v>1896.3790000000001</v>
      </c>
      <c r="G37" s="2">
        <v>1689.8719999999998</v>
      </c>
      <c r="H37" s="2"/>
      <c r="I37" s="2"/>
      <c r="J37" s="2"/>
      <c r="K37" s="2"/>
      <c r="L37" s="2"/>
      <c r="M37" s="2"/>
      <c r="N37" s="4">
        <f t="shared" si="0"/>
        <v>10822.973</v>
      </c>
      <c r="AU37" s="79" t="str">
        <f t="shared" si="1"/>
        <v>Diésel para uso marítimo</v>
      </c>
      <c r="AV37" s="80">
        <f>HLOOKUP(MAXA(B4:M4),$B$4:$M$49,33,FALSE)</f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/>
      <c r="I38" s="2"/>
      <c r="J38" s="2"/>
      <c r="K38" s="2"/>
      <c r="L38" s="2"/>
      <c r="M38" s="2"/>
      <c r="N38" s="4">
        <f t="shared" si="0"/>
        <v>128.68299999999999</v>
      </c>
      <c r="AU38" s="79" t="str">
        <f t="shared" si="1"/>
        <v>Otros Gasóleos</v>
      </c>
      <c r="AV38" s="80">
        <f>HLOOKUP(MAXA(B4:M4),$B$4:$M$49,34,FALSE)</f>
        <v>1689.8719999999998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17.826000000000001</v>
      </c>
      <c r="E39" s="2">
        <v>0</v>
      </c>
      <c r="F39" s="2">
        <v>0</v>
      </c>
      <c r="G39" s="2">
        <v>0</v>
      </c>
      <c r="H39" s="2"/>
      <c r="I39" s="2"/>
      <c r="J39" s="2"/>
      <c r="K39" s="2"/>
      <c r="L39" s="2"/>
      <c r="M39" s="2"/>
      <c r="N39" s="4">
        <f t="shared" si="0"/>
        <v>17.826000000000001</v>
      </c>
      <c r="AU39" s="79" t="str">
        <f t="shared" si="1"/>
        <v>Biodiesel</v>
      </c>
      <c r="AV39" s="80">
        <f>HLOOKUP(MAXA(B4:M4),$B$4:$M$49,35,FALSE)</f>
        <v>37.173000000000002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/>
      <c r="I40" s="2"/>
      <c r="J40" s="2"/>
      <c r="K40" s="2"/>
      <c r="L40" s="2"/>
      <c r="M40" s="2"/>
      <c r="N40" s="4">
        <f t="shared" si="0"/>
        <v>0</v>
      </c>
      <c r="AU40" s="79" t="str">
        <f t="shared" si="1"/>
        <v>Biodiesel Mezcla</v>
      </c>
      <c r="AV40" s="80">
        <f>HLOOKUP(MAXA(B4:M4),$B$4:$M$49,36,FALSE)</f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/>
      <c r="I41" s="2"/>
      <c r="J41" s="2"/>
      <c r="K41" s="2"/>
      <c r="L41" s="2"/>
      <c r="M41" s="2"/>
      <c r="N41" s="4">
        <f t="shared" si="0"/>
        <v>5.6370000000000005</v>
      </c>
      <c r="AU41" s="79" t="str">
        <f t="shared" si="1"/>
        <v>Fuelóleo BIA</v>
      </c>
      <c r="AV41" s="80">
        <f>HLOOKUP(MAXA(B4:M4),$B$4:$M$49,37,FALSE)</f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/>
      <c r="I42" s="2"/>
      <c r="J42" s="2"/>
      <c r="K42" s="2"/>
      <c r="L42" s="2"/>
      <c r="M42" s="2"/>
      <c r="N42" s="4">
        <f t="shared" si="0"/>
        <v>0</v>
      </c>
      <c r="AU42" s="79" t="str">
        <f t="shared" si="1"/>
        <v>Fuelóleo de refineria</v>
      </c>
      <c r="AV42" s="80">
        <f>HLOOKUP(MAXA(B4:M4),$B$4:$M$49,38,FALSE)</f>
        <v>0.7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/>
      <c r="I43" s="2"/>
      <c r="J43" s="2"/>
      <c r="K43" s="2"/>
      <c r="L43" s="2"/>
      <c r="M43" s="2"/>
      <c r="N43" s="4">
        <f t="shared" si="0"/>
        <v>2496.1580000000004</v>
      </c>
      <c r="AU43" s="79" t="str">
        <f t="shared" si="1"/>
        <v>Otros combustibles para uso marítimo</v>
      </c>
      <c r="AV43" s="80">
        <f>HLOOKUP(MAXA(B4:M4),$B$4:$M$49,39,FALSE)</f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/>
      <c r="I44" s="2"/>
      <c r="J44" s="2"/>
      <c r="K44" s="2"/>
      <c r="L44" s="2"/>
      <c r="M44" s="2"/>
      <c r="N44" s="4">
        <f t="shared" si="0"/>
        <v>139.28299999999999</v>
      </c>
      <c r="AU44" s="79" t="str">
        <f t="shared" si="1"/>
        <v>Otros Fuelóleos</v>
      </c>
      <c r="AV44" s="80">
        <f>HLOOKUP(MAXA(B4:M4),$B$4:$M$49,40,FALSE)</f>
        <v>425.28399999999999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/>
      <c r="I45" s="2"/>
      <c r="J45" s="2"/>
      <c r="K45" s="2"/>
      <c r="L45" s="2"/>
      <c r="M45" s="2"/>
      <c r="N45" s="4">
        <f t="shared" si="0"/>
        <v>893.44100000000003</v>
      </c>
      <c r="AU45" s="79" t="str">
        <f t="shared" si="1"/>
        <v>Aceites y bases lubricantes</v>
      </c>
      <c r="AV45" s="80">
        <f>HLOOKUP(MAXA(B4:M4),$B$4:$M$49,41,FALSE)</f>
        <v>19.661000000000001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/>
      <c r="I46" s="2"/>
      <c r="J46" s="2"/>
      <c r="K46" s="2"/>
      <c r="L46" s="2"/>
      <c r="M46" s="2"/>
      <c r="N46" s="4">
        <f t="shared" si="0"/>
        <v>65.201999999999998</v>
      </c>
      <c r="AU46" s="79" t="str">
        <f t="shared" si="1"/>
        <v>Productos asfálticos</v>
      </c>
      <c r="AV46" s="80">
        <f>HLOOKUP(MAXA(B4:M4),$B$4:$M$49,42,FALSE)</f>
        <v>156.24799999999999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/>
      <c r="I47" s="2"/>
      <c r="J47" s="2"/>
      <c r="K47" s="2"/>
      <c r="L47" s="2"/>
      <c r="M47" s="2"/>
      <c r="N47" s="4">
        <f t="shared" si="0"/>
        <v>39.535000000000004</v>
      </c>
      <c r="AU47" s="79" t="str">
        <f t="shared" si="1"/>
        <v>Disolventes</v>
      </c>
      <c r="AV47" s="80">
        <f>HLOOKUP(MAXA(B4:M4),$B$4:$M$49,43,FALSE)</f>
        <v>10.055999999999999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/>
      <c r="I48" s="2"/>
      <c r="J48" s="2"/>
      <c r="K48" s="2"/>
      <c r="L48" s="2"/>
      <c r="M48" s="2"/>
      <c r="N48" s="4">
        <f t="shared" si="0"/>
        <v>1698.7929999999999</v>
      </c>
      <c r="AU48" s="79" t="str">
        <f t="shared" si="1"/>
        <v>Parafinas</v>
      </c>
      <c r="AV48" s="80">
        <f>HLOOKUP(MAXA(B4:M4),$B$4:$M$49,44,FALSE)</f>
        <v>6.45</v>
      </c>
      <c r="AW48" s="80"/>
    </row>
    <row r="49" spans="1:49" ht="18" customHeight="1" x14ac:dyDescent="0.2">
      <c r="A49" s="10" t="s">
        <v>52</v>
      </c>
      <c r="B49" s="7">
        <v>178.72899999999998</v>
      </c>
      <c r="C49" s="5">
        <v>231.23899999999867</v>
      </c>
      <c r="D49" s="5">
        <v>123.14199999999997</v>
      </c>
      <c r="E49" s="5">
        <v>178.24900000000071</v>
      </c>
      <c r="F49" s="5">
        <v>212.06499999999869</v>
      </c>
      <c r="G49" s="5">
        <v>161.26200000000154</v>
      </c>
      <c r="H49" s="5"/>
      <c r="I49" s="5"/>
      <c r="J49" s="5"/>
      <c r="K49" s="5"/>
      <c r="L49" s="5"/>
      <c r="M49" s="5"/>
      <c r="N49" s="6">
        <f t="shared" si="0"/>
        <v>1084.6859999999997</v>
      </c>
      <c r="AU49" s="79" t="str">
        <f t="shared" si="1"/>
        <v>Coque de petróleo</v>
      </c>
      <c r="AV49" s="80">
        <f>HLOOKUP(MAXA(B4:M4),$B$4:$M$49,45,FALSE)</f>
        <v>274.50299999999999</v>
      </c>
      <c r="AW49" s="80"/>
    </row>
    <row r="50" spans="1:49" x14ac:dyDescent="0.2">
      <c r="F50" s="41"/>
      <c r="AU50" s="79" t="str">
        <f t="shared" si="1"/>
        <v>Otros Productos</v>
      </c>
      <c r="AV50" s="80">
        <f>HLOOKUP(MAXA(B4:M4),$B$4:$M$49,46,FALSE)</f>
        <v>161.26200000000154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topLeftCell="C84" zoomScale="70" zoomScaleNormal="70" workbookViewId="0"/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2024-08-14T12:02:26Z</dcterms:modified>
</cp:coreProperties>
</file>