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0" documentId="13_ncr:1_{EDF958C1-2BD5-4F49-99EF-A6B09DCE2D47}" xr6:coauthVersionLast="47" xr6:coauthVersionMax="47" xr10:uidLastSave="{00000000-0000-0000-0000-000000000000}"/>
  <bookViews>
    <workbookView xWindow="-120" yWindow="-120" windowWidth="20730" windowHeight="11160" tabRatio="599" firstSheet="4" activeTab="13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9" r:id="rId14"/>
    <sheet name="Evolución_Anual" sheetId="16" r:id="rId15"/>
    <sheet name="Impresión" sheetId="17" state="hidden" r:id="rId16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'2023'!$AB$1:$AQ$29</definedName>
    <definedName name="_xlnm.Print_Area" localSheetId="13">'2024'!$AB$30:$AQ$76</definedName>
    <definedName name="_xlnm.Print_Area" localSheetId="0">Carátula!$A$1:$H$41</definedName>
    <definedName name="_xlnm.Print_Area" localSheetId="14">Evolución_Anual!$A$1:$M$46</definedName>
    <definedName name="_xlnm.Print_Area" localSheetId="15">Impresión!$A$1:$R$48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4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9" l="1"/>
  <c r="E15" i="19"/>
  <c r="D15" i="19"/>
  <c r="C15" i="19"/>
  <c r="B15" i="19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N15" i="14" s="1"/>
  <c r="N14" i="14"/>
  <c r="N13" i="14"/>
  <c r="N12" i="14"/>
  <c r="N11" i="14"/>
  <c r="N10" i="14"/>
  <c r="N9" i="14"/>
  <c r="N8" i="14"/>
  <c r="N7" i="14"/>
  <c r="N6" i="14"/>
  <c r="N5" i="14"/>
  <c r="AV3" i="19"/>
  <c r="G2" i="17" s="1"/>
  <c r="AV6" i="19"/>
  <c r="AV50" i="19"/>
  <c r="AU50" i="19"/>
  <c r="AV49" i="19"/>
  <c r="AU49" i="19"/>
  <c r="N49" i="19"/>
  <c r="AV48" i="19"/>
  <c r="AU48" i="19"/>
  <c r="N48" i="19"/>
  <c r="AV47" i="19"/>
  <c r="AU47" i="19"/>
  <c r="N47" i="19"/>
  <c r="AV46" i="19"/>
  <c r="AU46" i="19"/>
  <c r="N46" i="19"/>
  <c r="AV45" i="19"/>
  <c r="AU45" i="19"/>
  <c r="N45" i="19"/>
  <c r="AV44" i="19"/>
  <c r="AU44" i="19"/>
  <c r="N44" i="19"/>
  <c r="AV43" i="19"/>
  <c r="AU43" i="19"/>
  <c r="N43" i="19"/>
  <c r="AV42" i="19"/>
  <c r="AU42" i="19"/>
  <c r="N42" i="19"/>
  <c r="AV41" i="19"/>
  <c r="AU41" i="19"/>
  <c r="N41" i="19"/>
  <c r="AV40" i="19"/>
  <c r="AU40" i="19"/>
  <c r="N40" i="19"/>
  <c r="AV39" i="19"/>
  <c r="AU39" i="19"/>
  <c r="N39" i="19"/>
  <c r="AV38" i="19"/>
  <c r="AU38" i="19"/>
  <c r="N38" i="19"/>
  <c r="AV37" i="19"/>
  <c r="AU37" i="19"/>
  <c r="N37" i="19"/>
  <c r="AV36" i="19"/>
  <c r="AU36" i="19"/>
  <c r="N36" i="19"/>
  <c r="AV35" i="19"/>
  <c r="AU35" i="19"/>
  <c r="N35" i="19"/>
  <c r="AV34" i="19"/>
  <c r="AU34" i="19"/>
  <c r="N34" i="19"/>
  <c r="AV33" i="19"/>
  <c r="AU33" i="19"/>
  <c r="N33" i="19"/>
  <c r="AV32" i="19"/>
  <c r="AU32" i="19"/>
  <c r="N32" i="19"/>
  <c r="AV31" i="19"/>
  <c r="AU31" i="19"/>
  <c r="N31" i="19"/>
  <c r="AV30" i="19"/>
  <c r="AU30" i="19"/>
  <c r="N30" i="19"/>
  <c r="AV29" i="19"/>
  <c r="AU29" i="19"/>
  <c r="N29" i="19"/>
  <c r="AV28" i="19"/>
  <c r="AU28" i="19"/>
  <c r="N28" i="19"/>
  <c r="AV27" i="19"/>
  <c r="AU27" i="19"/>
  <c r="N27" i="19"/>
  <c r="AV26" i="19"/>
  <c r="AU26" i="19"/>
  <c r="N26" i="19"/>
  <c r="AV25" i="19"/>
  <c r="AU25" i="19"/>
  <c r="N25" i="19"/>
  <c r="AV24" i="19"/>
  <c r="AU24" i="19"/>
  <c r="N24" i="19"/>
  <c r="AV23" i="19"/>
  <c r="AU23" i="19"/>
  <c r="N23" i="19"/>
  <c r="AV22" i="19"/>
  <c r="AU22" i="19"/>
  <c r="N22" i="19"/>
  <c r="AV21" i="19"/>
  <c r="AU21" i="19"/>
  <c r="N21" i="19"/>
  <c r="AV20" i="19"/>
  <c r="AU20" i="19"/>
  <c r="N20" i="19"/>
  <c r="AV19" i="19"/>
  <c r="AU19" i="19"/>
  <c r="N19" i="19"/>
  <c r="AV18" i="19"/>
  <c r="AU18" i="19"/>
  <c r="N18" i="19"/>
  <c r="AV17" i="19"/>
  <c r="AU17" i="19"/>
  <c r="N17" i="19"/>
  <c r="N16" i="19"/>
  <c r="AV15" i="19"/>
  <c r="AU15" i="19"/>
  <c r="N15" i="19"/>
  <c r="AV14" i="19"/>
  <c r="AU14" i="19"/>
  <c r="N14" i="19"/>
  <c r="AV13" i="19"/>
  <c r="AU13" i="19"/>
  <c r="N13" i="19"/>
  <c r="AV12" i="19"/>
  <c r="AU12" i="19"/>
  <c r="N12" i="19"/>
  <c r="AV11" i="19"/>
  <c r="AU11" i="19"/>
  <c r="N11" i="19"/>
  <c r="N10" i="19"/>
  <c r="N9" i="19"/>
  <c r="AV8" i="19"/>
  <c r="AU8" i="19"/>
  <c r="N8" i="19"/>
  <c r="AV7" i="19"/>
  <c r="AU7" i="19"/>
  <c r="N7" i="19"/>
  <c r="AU6" i="19"/>
  <c r="N6" i="19"/>
  <c r="Q1" i="19" l="1"/>
  <c r="B16" i="15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<sst xmlns="http://schemas.openxmlformats.org/spreadsheetml/2006/main" count="673" uniqueCount="64">
  <si>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</si>
  <si>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</si>
  <si>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</si>
  <si>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</si>
  <si>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</si>
  <si>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</si>
  <si>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</si>
  <si>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</si>
  <si>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</si>
  <si>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</si>
  <si>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</si>
  <si>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</si>
  <si>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</si>
  <si>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</si>
  <si>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</si>
  <si>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</si>
  <si>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</si>
  <si>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</si>
  <si>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</si>
  <si>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</si>
  <si>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</si>
  <si>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</si>
  <si>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</si>
  <si>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</si>
  <si>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</si>
  <si>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</si>
  <si>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</si>
  <si>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</si>
  <si>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</si>
  <si>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</si>
  <si>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</si>
  <si>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</si>
  <si>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</si>
  <si>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</si>
  <si>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</si>
  <si>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</si>
  <si>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</si>
  <si>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</si>
  <si>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</si>
  <si>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</si>
  <si>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</si>
  <si>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</si>
  <si>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</si>
  <si>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</si>
  <si>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</si>
  <si>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</si>
  <si>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</si>
  <si>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</si>
  <si>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</si>
  <si>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</si>
  <si>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</si>
  <si>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</si>
  <si>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</si>
  <si>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</si>
  <si>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</si>
  <si>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</si>
  <si>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</si>
  <si>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</si>
  <si>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</si>
  <si>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</si>
  <si>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Otros combustibles para uso marítimo</t>
  </si>
  <si>
    <t>Acumulado 2024</t>
  </si>
  <si>
    <t>MOVIMIENTO DE CRUDOS Y OBTENCIÓN DE PRODUCTOS PETROLÍFEROS - AÑO 2024- EVOLUCIÓN MENSUAL</t>
  </si>
  <si>
    <t>Información provisional elaborada a partir de la información disponible a fecha 13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</si>
</sst>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95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16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3" fontId="3" fillId="0" borderId="0" xfId="0" applyNumberFormat="1" applyFont="1"/>
    <xf numFmtId="168" fontId="3" fillId="0" borderId="0" xfId="0" applyNumberFormat="1" applyFont="1"/>
    <xf numFmtId="0" fontId="26" fillId="0" borderId="0" xfId="4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'2024'!$B$5:$M$5</c:f>
              <c:numCache>
                <c:formatCode>#,##0</c:formatCode>
                <c:ptCount val="12"/>
                <c:pt idx="0">
                  <c:v>0</c:v>
                </c:pt>
                <c:pt idx="1">
                  <c:v>7.5999999999999998E-2</c:v>
                </c:pt>
                <c:pt idx="2">
                  <c:v>3.5999999999999997E-2</c:v>
                </c:pt>
                <c:pt idx="3">
                  <c:v>5.1999999999999998E-2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4B8-A57A-A1FF53A8C8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A-4765-A493-B5B9727B508D}"/>
            </c:ext>
          </c:extLst>
        </c:ser>
        <c:ser>
          <c:idx val="1"/>
          <c:order val="1"/>
          <c:tx>
            <c:strRef>
              <c:f>'2024'!$A$41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'2024'!$B$41:$M$41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3.6320000000000001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A-4765-A493-B5B9727B508D}"/>
            </c:ext>
          </c:extLst>
        </c:ser>
        <c:ser>
          <c:idx val="2"/>
          <c:order val="2"/>
          <c:tx>
            <c:strRef>
              <c:f>'2024'!$A$42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A-4765-A493-B5B9727B508D}"/>
            </c:ext>
          </c:extLst>
        </c:ser>
        <c:ser>
          <c:idx val="3"/>
          <c:order val="3"/>
          <c:tx>
            <c:strRef>
              <c:f>'2024'!$A$43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A-4765-A493-B5B9727B508D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2A-4765-A493-B5B9727B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'2024'!$B$43:$M$43</c:f>
              <c:numCache>
                <c:formatCode>#,##0</c:formatCode>
                <c:ptCount val="12"/>
                <c:pt idx="0">
                  <c:v>450.274</c:v>
                </c:pt>
                <c:pt idx="1">
                  <c:v>328.14400000000001</c:v>
                </c:pt>
                <c:pt idx="2">
                  <c:v>407.99200000000002</c:v>
                </c:pt>
                <c:pt idx="3">
                  <c:v>432.93200000000002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2A-4765-A493-B5B9727B5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'2024'!$B$44:$M$44</c:f>
              <c:numCache>
                <c:formatCode>#,##0</c:formatCode>
                <c:ptCount val="12"/>
                <c:pt idx="0">
                  <c:v>26.797000000000001</c:v>
                </c:pt>
                <c:pt idx="1">
                  <c:v>22.974</c:v>
                </c:pt>
                <c:pt idx="2">
                  <c:v>24.135999999999999</c:v>
                </c:pt>
                <c:pt idx="3">
                  <c:v>24.268999999999998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7-4C48-A6C3-02C47D367978}"/>
            </c:ext>
          </c:extLst>
        </c:ser>
        <c:ser>
          <c:idx val="1"/>
          <c:order val="1"/>
          <c:tx>
            <c:strRef>
              <c:f>'2024'!$A$45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E7-4C48-A6C3-02C47D367978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7-4C48-A6C3-02C47D367978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'2024'!$B$45:$M$45</c:f>
              <c:numCache>
                <c:formatCode>#,##0</c:formatCode>
                <c:ptCount val="12"/>
                <c:pt idx="0">
                  <c:v>120.872</c:v>
                </c:pt>
                <c:pt idx="1">
                  <c:v>138.21100000000001</c:v>
                </c:pt>
                <c:pt idx="2">
                  <c:v>163.62700000000001</c:v>
                </c:pt>
                <c:pt idx="3">
                  <c:v>177.46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E7-4C48-A6C3-02C47D367978}"/>
            </c:ext>
          </c:extLst>
        </c:ser>
        <c:ser>
          <c:idx val="2"/>
          <c:order val="2"/>
          <c:tx>
            <c:strRef>
              <c:f>'2024'!$A$46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'2024'!$B$46:$M$46</c:f>
              <c:numCache>
                <c:formatCode>#,##0</c:formatCode>
                <c:ptCount val="12"/>
                <c:pt idx="0">
                  <c:v>8.6430000000000007</c:v>
                </c:pt>
                <c:pt idx="1">
                  <c:v>12.215999999999999</c:v>
                </c:pt>
                <c:pt idx="2">
                  <c:v>12.93</c:v>
                </c:pt>
                <c:pt idx="3">
                  <c:v>10.641999999999999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E7-4C48-A6C3-02C47D367978}"/>
            </c:ext>
          </c:extLst>
        </c:ser>
        <c:ser>
          <c:idx val="3"/>
          <c:order val="3"/>
          <c:tx>
            <c:strRef>
              <c:f>'2024'!$A$47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'2024'!$B$47:$M$47</c:f>
              <c:numCache>
                <c:formatCode>#,##0</c:formatCode>
                <c:ptCount val="12"/>
                <c:pt idx="0">
                  <c:v>6.7759999999999998</c:v>
                </c:pt>
                <c:pt idx="1">
                  <c:v>6.7039999999999997</c:v>
                </c:pt>
                <c:pt idx="2">
                  <c:v>6.0789999999999997</c:v>
                </c:pt>
                <c:pt idx="3">
                  <c:v>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E7-4C48-A6C3-02C47D367978}"/>
            </c:ext>
          </c:extLst>
        </c:ser>
        <c:ser>
          <c:idx val="4"/>
          <c:order val="4"/>
          <c:tx>
            <c:strRef>
              <c:f>'2024'!$A$49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E7-4C48-A6C3-02C47D367978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'2024'!$B$49:$M$49</c:f>
              <c:numCache>
                <c:formatCode>#,##0</c:formatCode>
                <c:ptCount val="12"/>
                <c:pt idx="0">
                  <c:v>178.72899999999998</c:v>
                </c:pt>
                <c:pt idx="1">
                  <c:v>231.23899999999867</c:v>
                </c:pt>
                <c:pt idx="2">
                  <c:v>123.14199999999997</c:v>
                </c:pt>
                <c:pt idx="3">
                  <c:v>178.24900000000071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E7-4C48-A6C3-02C47D36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'2024'!$A$48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79-47CF-8547-5A72642B81C6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79-47CF-8547-5A72642B81C6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79-47CF-8547-5A72642B81C6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79-47CF-8547-5A72642B81C6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79-47CF-8547-5A72642B81C6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79-47CF-8547-5A72642B81C6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79-47CF-8547-5A72642B8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'2024'!$B$48:$M$48</c:f>
              <c:numCache>
                <c:formatCode>#,##0</c:formatCode>
                <c:ptCount val="12"/>
                <c:pt idx="0">
                  <c:v>276.36099999999999</c:v>
                </c:pt>
                <c:pt idx="1">
                  <c:v>333.20699999999999</c:v>
                </c:pt>
                <c:pt idx="2">
                  <c:v>286.33100000000002</c:v>
                </c:pt>
                <c:pt idx="3">
                  <c:v>247.52699999999999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79-47CF-8547-5A72642B81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65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ABRIL 2024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6291.4139999999998</c:v>
                </c:pt>
                <c:pt idx="1">
                  <c:v>5487.43</c:v>
                </c:pt>
                <c:pt idx="2">
                  <c:v>5268.62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BAC-986F-EEED926A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ABRIL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F-483F-A7A6-F2EE145F6B7D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F-483F-A7A6-F2EE145F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48.972000000000662</c:v>
                </c:pt>
                <c:pt idx="1">
                  <c:v>810.17700000000002</c:v>
                </c:pt>
                <c:pt idx="2">
                  <c:v>88.158000000000015</c:v>
                </c:pt>
                <c:pt idx="3">
                  <c:v>45.326999999999998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F-483F-A7A6-F2EE145F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ABRIL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170.124</c:v>
                </c:pt>
                <c:pt idx="1">
                  <c:v>0</c:v>
                </c:pt>
                <c:pt idx="2">
                  <c:v>82.632000000000005</c:v>
                </c:pt>
                <c:pt idx="3">
                  <c:v>8.0939999999999941</c:v>
                </c:pt>
                <c:pt idx="4">
                  <c:v>152.62799999999999</c:v>
                </c:pt>
                <c:pt idx="5">
                  <c:v>0</c:v>
                </c:pt>
                <c:pt idx="6">
                  <c:v>102.251</c:v>
                </c:pt>
                <c:pt idx="7">
                  <c:v>8.7070000000000007</c:v>
                </c:pt>
                <c:pt idx="8">
                  <c:v>0</c:v>
                </c:pt>
                <c:pt idx="9">
                  <c:v>724.36799999999994</c:v>
                </c:pt>
                <c:pt idx="10">
                  <c:v>0</c:v>
                </c:pt>
                <c:pt idx="11">
                  <c:v>0</c:v>
                </c:pt>
                <c:pt idx="12">
                  <c:v>40.491</c:v>
                </c:pt>
                <c:pt idx="13">
                  <c:v>0</c:v>
                </c:pt>
                <c:pt idx="14">
                  <c:v>767.08299999999997</c:v>
                </c:pt>
                <c:pt idx="15">
                  <c:v>0</c:v>
                </c:pt>
                <c:pt idx="16">
                  <c:v>271.846</c:v>
                </c:pt>
                <c:pt idx="17">
                  <c:v>27.341000000000001</c:v>
                </c:pt>
                <c:pt idx="18">
                  <c:v>6.8419999999999996</c:v>
                </c:pt>
                <c:pt idx="19">
                  <c:v>54.295999999999999</c:v>
                </c:pt>
                <c:pt idx="20">
                  <c:v>0</c:v>
                </c:pt>
                <c:pt idx="21">
                  <c:v>1751.6610000000001</c:v>
                </c:pt>
                <c:pt idx="22">
                  <c:v>22.597000000000001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432.93200000000002</c:v>
                </c:pt>
                <c:pt idx="28">
                  <c:v>24.268999999999998</c:v>
                </c:pt>
                <c:pt idx="29">
                  <c:v>177.46</c:v>
                </c:pt>
                <c:pt idx="30">
                  <c:v>10.641999999999999</c:v>
                </c:pt>
                <c:pt idx="31">
                  <c:v>6.58</c:v>
                </c:pt>
                <c:pt idx="32">
                  <c:v>247.52699999999999</c:v>
                </c:pt>
                <c:pt idx="33">
                  <c:v>178.24900000000071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2-45D0-8163-F47F18AB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'2024'!$B$16:$M$16</c:f>
              <c:numCache>
                <c:formatCode>#,##0</c:formatCode>
                <c:ptCount val="12"/>
                <c:pt idx="0">
                  <c:v>171.17400000000001</c:v>
                </c:pt>
                <c:pt idx="1">
                  <c:v>141.738</c:v>
                </c:pt>
                <c:pt idx="2">
                  <c:v>171.87</c:v>
                </c:pt>
                <c:pt idx="3">
                  <c:v>170.124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E-4BD2-99F5-04D35964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4F-4F2E-9694-E0084FBF14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'2024'!$B$15:$M$15</c:f>
              <c:numCache>
                <c:formatCode>#,##0</c:formatCode>
                <c:ptCount val="12"/>
                <c:pt idx="0">
                  <c:v>5627.2970000000005</c:v>
                </c:pt>
                <c:pt idx="1">
                  <c:v>5219.4040000000005</c:v>
                </c:pt>
                <c:pt idx="2">
                  <c:v>5229.4089999999997</c:v>
                </c:pt>
                <c:pt idx="3">
                  <c:v>5268.62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F-4F2E-9694-E0084FBF14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Evolución_Anual!$B$2:$M$2</c:f>
              <c:numCache>
                <c:formatCode>0.00</c:formatCode>
                <c:ptCount val="12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  <c:pt idx="11" formatCode="0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Evolución_Anual!$B$3:$M$3</c:f>
              <c:numCache>
                <c:formatCode>0.00</c:formatCode>
                <c:ptCount val="12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  <c:pt idx="11" formatCode="0">
                  <c:v>61558.654000000002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60-44AE-8C37-ABDB2050B83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'2024'!$B$6:$M$6</c:f>
              <c:numCache>
                <c:formatCode>#,##0</c:formatCode>
                <c:ptCount val="12"/>
                <c:pt idx="0">
                  <c:v>6240.1289999999999</c:v>
                </c:pt>
                <c:pt idx="1">
                  <c:v>5087.451</c:v>
                </c:pt>
                <c:pt idx="2">
                  <c:v>4917.4210000000003</c:v>
                </c:pt>
                <c:pt idx="3">
                  <c:v>6291.4139999999998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4AE-8C37-ABDB2050B8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Evolución_Anual!$B$25:$M$25</c:f>
              <c:numCache>
                <c:formatCode>0.00</c:formatCode>
                <c:ptCount val="12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  <c:pt idx="11" formatCode="0">
                  <c:v>398.375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Evolución_Anual!$B$26:$M$26</c:f>
              <c:numCache>
                <c:formatCode>0.00</c:formatCode>
                <c:ptCount val="12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Evolución_Anual!$B$27:$M$27</c:f>
              <c:numCache>
                <c:formatCode>0.00</c:formatCode>
                <c:ptCount val="12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  <c:pt idx="11" formatCode="0">
                  <c:v>9387.0400000000009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Evolución_Anual!$B$13:$M$13</c:f>
              <c:numCache>
                <c:formatCode>0.00</c:formatCode>
                <c:ptCount val="12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  <c:pt idx="11" formatCode="0">
                  <c:v>2094.491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Evolución_Anual!$B$14:$M$14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Evolución_Anual!$B$15:$M$15</c:f>
              <c:numCache>
                <c:formatCode>0.00</c:formatCode>
                <c:ptCount val="12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  <c:pt idx="11" formatCode="0">
                  <c:v>1055.7279999999998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Evolución_Anual!$B$16:$M$16</c:f>
              <c:numCache>
                <c:formatCode>0.00</c:formatCode>
                <c:ptCount val="12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  <c:pt idx="11" formatCode="0">
                  <c:v>138.84900000000005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Evolución_Anual!$B$22:$M$22</c:f>
              <c:numCache>
                <c:formatCode>0.00</c:formatCode>
                <c:ptCount val="12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  <c:pt idx="11" formatCode="0">
                  <c:v>8649.3249999999989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Evolución_Anual!$B$28:$M$28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Evolución_Anual!$B$29:$M$29</c:f>
              <c:numCache>
                <c:formatCode>0.00</c:formatCode>
                <c:ptCount val="12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  <c:pt idx="11" formatCode="0">
                  <c:v>2479.116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Evolución_Anual!$B$30:$M$30</c:f>
              <c:numCache>
                <c:formatCode>0.00</c:formatCode>
                <c:ptCount val="12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  <c:pt idx="11" formatCode="0">
                  <c:v>270.95500000000004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Evolución_Anual!$B$31:$M$31</c:f>
              <c:numCache>
                <c:formatCode>0.00</c:formatCode>
                <c:ptCount val="12"/>
                <c:pt idx="0" formatCode="#,##0">
                  <c:v>46.366999999999997</c:v>
                </c:pt>
                <c:pt idx="1">
                  <c:v>24.143999999999998</c:v>
                </c:pt>
                <c:pt idx="2">
                  <c:v>221.791</c:v>
                </c:pt>
                <c:pt idx="3" formatCode="#,##0">
                  <c:v>122.66900000000001</c:v>
                </c:pt>
                <c:pt idx="4" formatCode="#,##0">
                  <c:v>84.996999999999986</c:v>
                </c:pt>
                <c:pt idx="5" formatCode="#,##0">
                  <c:v>121.81199999999998</c:v>
                </c:pt>
                <c:pt idx="6" formatCode="#,##0">
                  <c:v>53.104000000000006</c:v>
                </c:pt>
                <c:pt idx="7" formatCode="#,##0">
                  <c:v>75.085000000000008</c:v>
                </c:pt>
                <c:pt idx="8" formatCode="#,##0">
                  <c:v>63.033000000000001</c:v>
                </c:pt>
                <c:pt idx="9" formatCode="#,##0">
                  <c:v>44.867999999999995</c:v>
                </c:pt>
                <c:pt idx="10" formatCode="0">
                  <c:v>49.397000000000006</c:v>
                </c:pt>
                <c:pt idx="11" formatCode="0">
                  <c:v>92.393000000000001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Evolución_Anual!$B$32:$M$32</c:f>
              <c:numCache>
                <c:formatCode>0.00</c:formatCode>
                <c:ptCount val="12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  <c:pt idx="11" formatCode="0">
                  <c:v>664.36899999999991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Evolución_Anual!$B$33:$M$33</c:f>
              <c:numCache>
                <c:formatCode>0.00</c:formatCode>
                <c:ptCount val="12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Evolución_Anual!$B$34:$M$34</c:f>
              <c:numCache>
                <c:formatCode>0.00</c:formatCode>
                <c:ptCount val="12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  <c:pt idx="11" formatCode="0">
                  <c:v>22082.314000000002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Evolución_Anual!$B$37:$M$37</c:f>
              <c:numCache>
                <c:formatCode>0.00</c:formatCode>
                <c:ptCount val="12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  <c:pt idx="11" formatCode="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Evolución_Anual!$B$38:$M$38</c:f>
              <c:numCache>
                <c:formatCode>0.00</c:formatCode>
                <c:ptCount val="12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  <c:pt idx="11" formatCode="0">
                  <c:v>5.0659999999999998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Evolución_Anual!$B$39:$M$39</c:f>
              <c:numCache>
                <c:formatCode>0.00</c:formatCode>
                <c:ptCount val="12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  <c:pt idx="11" formatCode="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Evolución_Anual!$B$40:$M$40</c:f>
              <c:numCache>
                <c:formatCode>0.00</c:formatCode>
                <c:ptCount val="12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  <c:pt idx="11" formatCode="0">
                  <c:v>3941.1609999999996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Evolución_Anual!$B$45:$M$45</c:f>
              <c:numCache>
                <c:formatCode>0.00</c:formatCode>
                <c:ptCount val="12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  <c:pt idx="11" formatCode="0">
                  <c:v>3457.4449999999997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F-4FCC-B504-1EA2D6C716CA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F-4FCC-B504-1EA2D6C716CA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F-4FCC-B504-1EA2D6C716CA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'2024'!$B$7:$M$7</c:f>
              <c:numCache>
                <c:formatCode>#,##0</c:formatCode>
                <c:ptCount val="12"/>
                <c:pt idx="0">
                  <c:v>120.79399999999987</c:v>
                </c:pt>
                <c:pt idx="1">
                  <c:v>-8.9480000000003201</c:v>
                </c:pt>
                <c:pt idx="2">
                  <c:v>-95.347999999999956</c:v>
                </c:pt>
                <c:pt idx="3">
                  <c:v>48.972000000000662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BF-4FCC-B504-1EA2D6C716CA}"/>
            </c:ext>
          </c:extLst>
        </c:ser>
        <c:ser>
          <c:idx val="1"/>
          <c:order val="1"/>
          <c:tx>
            <c:strRef>
              <c:f>'2024'!$A$8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F-4FCC-B504-1EA2D6C716CA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F-4FCC-B504-1EA2D6C716CA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F-4FCC-B504-1EA2D6C716CA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'2024'!$B$8:$M$8</c:f>
              <c:numCache>
                <c:formatCode>#,##0</c:formatCode>
                <c:ptCount val="12"/>
                <c:pt idx="0">
                  <c:v>518.52800000000002</c:v>
                </c:pt>
                <c:pt idx="1">
                  <c:v>-393.85</c:v>
                </c:pt>
                <c:pt idx="2">
                  <c:v>-400.02199999999999</c:v>
                </c:pt>
                <c:pt idx="3">
                  <c:v>810.17700000000002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BF-4FCC-B504-1EA2D6C716CA}"/>
            </c:ext>
          </c:extLst>
        </c:ser>
        <c:ser>
          <c:idx val="2"/>
          <c:order val="2"/>
          <c:tx>
            <c:strRef>
              <c:f>'2024'!$A$9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F-4FCC-B504-1EA2D6C716CA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F-4FCC-B504-1EA2D6C716CA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F-4FCC-B504-1EA2D6C716CA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F-4FCC-B504-1EA2D6C716CA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'2024'!$B$9:$M$9</c:f>
              <c:numCache>
                <c:formatCode>#,##0</c:formatCode>
                <c:ptCount val="12"/>
                <c:pt idx="0">
                  <c:v>170.74199999999996</c:v>
                </c:pt>
                <c:pt idx="1">
                  <c:v>12.411000000000001</c:v>
                </c:pt>
                <c:pt idx="2">
                  <c:v>-72.739000000000033</c:v>
                </c:pt>
                <c:pt idx="3">
                  <c:v>88.158000000000015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BF-4FCC-B504-1EA2D6C716CA}"/>
            </c:ext>
          </c:extLst>
        </c:ser>
        <c:ser>
          <c:idx val="3"/>
          <c:order val="3"/>
          <c:tx>
            <c:strRef>
              <c:f>'2024'!$A$10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BF-4FCC-B504-1EA2D6C716CA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'2024'!$B$10:$M$10</c:f>
              <c:numCache>
                <c:formatCode>#,##0</c:formatCode>
                <c:ptCount val="12"/>
                <c:pt idx="0">
                  <c:v>59.488</c:v>
                </c:pt>
                <c:pt idx="1">
                  <c:v>22.417999999999999</c:v>
                </c:pt>
                <c:pt idx="2">
                  <c:v>30.14</c:v>
                </c:pt>
                <c:pt idx="3">
                  <c:v>45.326999999999998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BF-4FCC-B504-1EA2D6C716CA}"/>
            </c:ext>
          </c:extLst>
        </c:ser>
        <c:ser>
          <c:idx val="4"/>
          <c:order val="4"/>
          <c:tx>
            <c:strRef>
              <c:f>'2024'!$A$11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BF-4FCC-B504-1EA2D6C716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Evolución_Anual!$B$41:$M$41</c:f>
              <c:numCache>
                <c:formatCode>0.00</c:formatCode>
                <c:ptCount val="12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  <c:pt idx="11" formatCode="0">
                  <c:v>310.36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Evolución_Anual!$B$42:$M$42</c:f>
              <c:numCache>
                <c:formatCode>0.00</c:formatCode>
                <c:ptCount val="12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  <c:pt idx="11" formatCode="0">
                  <c:v>1822.5049999999999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Evolución_Anual!$B$43:$M$43</c:f>
              <c:numCache>
                <c:formatCode>0.00</c:formatCode>
                <c:ptCount val="12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  <c:pt idx="11" formatCode="0">
                  <c:v>122.27900000000001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Evolución_Anual!$B$44:$M$44</c:f>
              <c:numCache>
                <c:formatCode>0.00</c:formatCode>
                <c:ptCount val="12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  <c:pt idx="11" formatCode="0">
                  <c:v>68.566999999999993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Evolución_Anual!$B$46:$M$46</c:f>
              <c:numCache>
                <c:formatCode>0.00</c:formatCode>
                <c:ptCount val="12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  <c:pt idx="11" formatCode="0">
                  <c:v>1605.8290000000018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Evolución_Anual!$B$17:$M$17</c:f>
              <c:numCache>
                <c:formatCode>0.00</c:formatCode>
                <c:ptCount val="12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  <c:pt idx="11" formatCode="0">
                  <c:v>1641.7580000000003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Evolución_Anual!$B$18:$M$18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Evolución_Anual!$B$19:$M$19</c:f>
              <c:numCache>
                <c:formatCode>0.00</c:formatCode>
                <c:ptCount val="12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  <c:pt idx="11" formatCode="0">
                  <c:v>945.81700000000001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Evolución_Anual!$B$20:$M$20</c:f>
              <c:numCache>
                <c:formatCode>0.00</c:formatCode>
                <c:ptCount val="12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  <c:pt idx="11" formatCode="0">
                  <c:v>97.459000000000003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Evolución_Anual!$B$21:$M$21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Evolución_Anual!$B$9:$M$9</c:f>
              <c:numCache>
                <c:formatCode>0.00</c:formatCode>
                <c:ptCount val="12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  <c:pt idx="11" formatCode="0">
                  <c:v>62465.011999999995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Evolución_Anual!$B$10:$M$10</c:f>
              <c:numCache>
                <c:formatCode>0.00</c:formatCode>
                <c:ptCount val="12"/>
                <c:pt idx="0" formatCode="#,##0">
                  <c:v>59123</c:v>
                </c:pt>
                <c:pt idx="1">
                  <c:v>58143</c:v>
                </c:pt>
                <c:pt idx="2">
                  <c:v>59022</c:v>
                </c:pt>
                <c:pt idx="3" formatCode="#,##0">
                  <c:v>65031</c:v>
                </c:pt>
                <c:pt idx="4" formatCode="#,##0">
                  <c:v>64988</c:v>
                </c:pt>
                <c:pt idx="5" formatCode="#,##0">
                  <c:v>66038</c:v>
                </c:pt>
                <c:pt idx="6" formatCode="#,##0">
                  <c:v>67894</c:v>
                </c:pt>
                <c:pt idx="7" formatCode="#,##0">
                  <c:v>65648</c:v>
                </c:pt>
                <c:pt idx="8" formatCode="#,##0">
                  <c:v>55153</c:v>
                </c:pt>
                <c:pt idx="9" formatCode="#,##0">
                  <c:v>56922.123999999996</c:v>
                </c:pt>
                <c:pt idx="10" formatCode="0">
                  <c:v>63393.94999999999</c:v>
                </c:pt>
                <c:pt idx="11" formatCode="0">
                  <c:v>61885.819000000003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Evolución_Anual!$B$11:$M$11</c:f>
              <c:numCache>
                <c:formatCode>0.00</c:formatCode>
                <c:ptCount val="12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  <c:pt idx="11" formatCode="0">
                  <c:v>991.699999999998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Evolución_Anual!$B$12:$M$12</c:f>
              <c:numCache>
                <c:formatCode>0.00</c:formatCode>
                <c:ptCount val="12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  <c:pt idx="11" formatCode="0">
                  <c:v>61473.311999999991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ABRIL 2024</c:v>
            </c:pt>
          </c:strCache>
        </c:strRef>
      </c:tx>
      <c:layout>
        <c:manualLayout>
          <c:xMode val="edge"/>
          <c:yMode val="edge"/>
          <c:x val="0.4151123953286085"/>
          <c:y val="2.933333157355341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6291.4139999999998</c:v>
                </c:pt>
                <c:pt idx="1">
                  <c:v>5487.43</c:v>
                </c:pt>
                <c:pt idx="2">
                  <c:v>5268.62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ABRIL 2024</c:v>
            </c:pt>
          </c:strCache>
        </c:strRef>
      </c:tx>
      <c:overlay val="0"/>
      <c:txPr>
        <a:bodyPr/>
        <a:lstStyle/>
        <a:p>
          <a:pPr marL="0" marR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48.972000000000662</c:v>
                </c:pt>
                <c:pt idx="1">
                  <c:v>810.17700000000002</c:v>
                </c:pt>
                <c:pt idx="2">
                  <c:v>88.158000000000015</c:v>
                </c:pt>
                <c:pt idx="3">
                  <c:v>45.326999999999998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ABRIL 2024</c:v>
            </c:pt>
          </c:strCache>
        </c:strRef>
      </c:tx>
      <c:layout>
        <c:manualLayout>
          <c:xMode val="edge"/>
          <c:yMode val="edge"/>
          <c:x val="0.61518858948305954"/>
          <c:y val="2.901333114019964E-2"/>
        </c:manualLayout>
      </c:layout>
      <c:overlay val="0"/>
      <c:txPr>
        <a:bodyPr/>
        <a:lstStyle/>
        <a:p>
          <a:pPr marL="0" marR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170.124</c:v>
                </c:pt>
                <c:pt idx="1">
                  <c:v>0</c:v>
                </c:pt>
                <c:pt idx="2">
                  <c:v>82.632000000000005</c:v>
                </c:pt>
                <c:pt idx="3">
                  <c:v>8.0939999999999941</c:v>
                </c:pt>
                <c:pt idx="4">
                  <c:v>152.62799999999999</c:v>
                </c:pt>
                <c:pt idx="5">
                  <c:v>0</c:v>
                </c:pt>
                <c:pt idx="6">
                  <c:v>102.251</c:v>
                </c:pt>
                <c:pt idx="7">
                  <c:v>8.7070000000000007</c:v>
                </c:pt>
                <c:pt idx="8">
                  <c:v>0</c:v>
                </c:pt>
                <c:pt idx="9">
                  <c:v>724.36799999999994</c:v>
                </c:pt>
                <c:pt idx="10">
                  <c:v>0</c:v>
                </c:pt>
                <c:pt idx="11">
                  <c:v>0</c:v>
                </c:pt>
                <c:pt idx="12">
                  <c:v>40.491</c:v>
                </c:pt>
                <c:pt idx="13">
                  <c:v>0</c:v>
                </c:pt>
                <c:pt idx="14">
                  <c:v>767.08299999999997</c:v>
                </c:pt>
                <c:pt idx="15">
                  <c:v>0</c:v>
                </c:pt>
                <c:pt idx="16">
                  <c:v>271.846</c:v>
                </c:pt>
                <c:pt idx="17">
                  <c:v>27.341000000000001</c:v>
                </c:pt>
                <c:pt idx="18">
                  <c:v>6.8419999999999996</c:v>
                </c:pt>
                <c:pt idx="19">
                  <c:v>54.295999999999999</c:v>
                </c:pt>
                <c:pt idx="20">
                  <c:v>0</c:v>
                </c:pt>
                <c:pt idx="21">
                  <c:v>1751.6610000000001</c:v>
                </c:pt>
                <c:pt idx="22">
                  <c:v>22.597000000000001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432.93200000000002</c:v>
                </c:pt>
                <c:pt idx="28">
                  <c:v>24.268999999999998</c:v>
                </c:pt>
                <c:pt idx="29">
                  <c:v>177.46</c:v>
                </c:pt>
                <c:pt idx="30">
                  <c:v>10.641999999999999</c:v>
                </c:pt>
                <c:pt idx="31">
                  <c:v>6.58</c:v>
                </c:pt>
                <c:pt idx="32">
                  <c:v>247.52699999999999</c:v>
                </c:pt>
                <c:pt idx="33">
                  <c:v>178.24900000000071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kt</a:t>
                </a:r>
              </a:p>
            </c:rich>
          </c:tx>
          <c:overlay val="0"/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'2024'!$A$14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'2024'!$B$14:$M$14</c:f>
              <c:numCache>
                <c:formatCode>#,##0</c:formatCode>
                <c:ptCount val="12"/>
                <c:pt idx="0">
                  <c:v>103.84400000000005</c:v>
                </c:pt>
                <c:pt idx="1">
                  <c:v>263.03199999999924</c:v>
                </c:pt>
                <c:pt idx="2">
                  <c:v>95.601000000001477</c:v>
                </c:pt>
                <c:pt idx="3">
                  <c:v>218.8100000000004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B-4BD8-A84D-38A735A04BD6}"/>
            </c:ext>
          </c:extLst>
        </c:ser>
        <c:ser>
          <c:idx val="1"/>
          <c:order val="1"/>
          <c:tx>
            <c:strRef>
              <c:f>'2024'!$A$13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'2024'!$B$13:$M$13</c:f>
              <c:numCache>
                <c:formatCode>#,##0</c:formatCode>
                <c:ptCount val="12"/>
                <c:pt idx="0">
                  <c:v>5721.6009999999997</c:v>
                </c:pt>
                <c:pt idx="1">
                  <c:v>5481.3770000000004</c:v>
                </c:pt>
                <c:pt idx="2">
                  <c:v>5317.4790000000003</c:v>
                </c:pt>
                <c:pt idx="3">
                  <c:v>5481.2889999999998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'2024'!$A$12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FFFB-4BD8-A84D-38A735A0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'2024'!$B$12:$M$12</c:f>
              <c:numCache>
                <c:formatCode>#,##0</c:formatCode>
                <c:ptCount val="12"/>
                <c:pt idx="0">
                  <c:v>5731.1409999999996</c:v>
                </c:pt>
                <c:pt idx="1">
                  <c:v>5482.4359999999997</c:v>
                </c:pt>
                <c:pt idx="2">
                  <c:v>5325.0100000000011</c:v>
                </c:pt>
                <c:pt idx="3">
                  <c:v>5487.43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496512429677E-2"/>
          <c:y val="0.16329335759261288"/>
          <c:w val="0.87497128952882108"/>
          <c:h val="0.62350962688456313"/>
        </c:manualLayout>
      </c:layout>
      <c:lineChart>
        <c:grouping val="standard"/>
        <c:varyColors val="0"/>
        <c:ser>
          <c:idx val="0"/>
          <c:order val="0"/>
          <c:tx>
            <c:strRef>
              <c:f>'2024'!$A$18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79-441E-9537-95CEB45EB8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79-441E-9537-95CEB45EB8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79-441E-9537-95CEB45EB8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79-441E-9537-95CEB45EB8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179-441E-9537-95CEB45EB80A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9-441E-9537-95CEB45EB80A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9-441E-9537-95CEB45EB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'2024'!$B$18:$M$18</c:f>
              <c:numCache>
                <c:formatCode>#,##0</c:formatCode>
                <c:ptCount val="12"/>
                <c:pt idx="0">
                  <c:v>108.21899999999999</c:v>
                </c:pt>
                <c:pt idx="1">
                  <c:v>98.212999999999994</c:v>
                </c:pt>
                <c:pt idx="2">
                  <c:v>102.102</c:v>
                </c:pt>
                <c:pt idx="3">
                  <c:v>82.632000000000005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79-441E-9537-95CEB45EB80A}"/>
            </c:ext>
          </c:extLst>
        </c:ser>
        <c:ser>
          <c:idx val="1"/>
          <c:order val="1"/>
          <c:tx>
            <c:strRef>
              <c:f>'2024'!$A$19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'2024'!$B$19:$M$19</c:f>
              <c:numCache>
                <c:formatCode>#,##0</c:formatCode>
                <c:ptCount val="12"/>
                <c:pt idx="0">
                  <c:v>25.813999999999993</c:v>
                </c:pt>
                <c:pt idx="1">
                  <c:v>15.995000000000005</c:v>
                </c:pt>
                <c:pt idx="2">
                  <c:v>2.8889999999999958</c:v>
                </c:pt>
                <c:pt idx="3">
                  <c:v>8.0939999999999941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79-441E-9537-95CEB45EB80A}"/>
            </c:ext>
          </c:extLst>
        </c:ser>
        <c:ser>
          <c:idx val="2"/>
          <c:order val="2"/>
          <c:tx>
            <c:strRef>
              <c:f>'2024'!$A$17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79-441E-9537-95CEB45EB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271931056992105"/>
          <c:y val="0.93320806190997896"/>
          <c:w val="0.6953456552892836"/>
          <c:h val="5.3506983841171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'2024'!$B$20:$M$20</c:f>
              <c:numCache>
                <c:formatCode>#,##0</c:formatCode>
                <c:ptCount val="12"/>
                <c:pt idx="0">
                  <c:v>151.98500000000001</c:v>
                </c:pt>
                <c:pt idx="1">
                  <c:v>150.405</c:v>
                </c:pt>
                <c:pt idx="2">
                  <c:v>125.714</c:v>
                </c:pt>
                <c:pt idx="3">
                  <c:v>152.62799999999999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9-418C-B9B7-45BB1177A3FA}"/>
            </c:ext>
          </c:extLst>
        </c:ser>
        <c:ser>
          <c:idx val="1"/>
          <c:order val="1"/>
          <c:tx>
            <c:strRef>
              <c:f>'2024'!$A$21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9-418C-B9B7-45BB1177A3FA}"/>
            </c:ext>
          </c:extLst>
        </c:ser>
        <c:ser>
          <c:idx val="2"/>
          <c:order val="2"/>
          <c:tx>
            <c:strRef>
              <c:f>'2024'!$A$22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'2024'!$B$22:$M$22</c:f>
              <c:numCache>
                <c:formatCode>#,##0</c:formatCode>
                <c:ptCount val="12"/>
                <c:pt idx="0">
                  <c:v>104.45099999999999</c:v>
                </c:pt>
                <c:pt idx="1">
                  <c:v>100.797</c:v>
                </c:pt>
                <c:pt idx="2">
                  <c:v>107.002</c:v>
                </c:pt>
                <c:pt idx="3">
                  <c:v>102.251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9-418C-B9B7-45BB1177A3FA}"/>
            </c:ext>
          </c:extLst>
        </c:ser>
        <c:ser>
          <c:idx val="3"/>
          <c:order val="3"/>
          <c:tx>
            <c:strRef>
              <c:f>'2024'!$A$23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'2024'!$B$23:$M$23</c:f>
              <c:numCache>
                <c:formatCode>#,##0</c:formatCode>
                <c:ptCount val="12"/>
                <c:pt idx="0">
                  <c:v>4.3689999999999998</c:v>
                </c:pt>
                <c:pt idx="1">
                  <c:v>10.430999999999999</c:v>
                </c:pt>
                <c:pt idx="2">
                  <c:v>6.8049999999999997</c:v>
                </c:pt>
                <c:pt idx="3">
                  <c:v>8.7070000000000007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9-418C-B9B7-45BB1177A3FA}"/>
            </c:ext>
          </c:extLst>
        </c:ser>
        <c:ser>
          <c:idx val="4"/>
          <c:order val="4"/>
          <c:tx>
            <c:strRef>
              <c:f>'2024'!$A$24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9-418C-B9B7-45BB1177A3FA}"/>
            </c:ext>
          </c:extLst>
        </c:ser>
        <c:ser>
          <c:idx val="5"/>
          <c:order val="5"/>
          <c:tx>
            <c:strRef>
              <c:f>'2024'!$A$25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'2024'!$B$25:$M$25</c:f>
              <c:numCache>
                <c:formatCode>#,##0</c:formatCode>
                <c:ptCount val="12"/>
                <c:pt idx="0">
                  <c:v>746.77500000000009</c:v>
                </c:pt>
                <c:pt idx="1">
                  <c:v>593.98899999999992</c:v>
                </c:pt>
                <c:pt idx="2">
                  <c:v>650.19499999999994</c:v>
                </c:pt>
                <c:pt idx="3">
                  <c:v>724.36799999999994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9-418C-B9B7-45BB1177A3FA}"/>
            </c:ext>
          </c:extLst>
        </c:ser>
        <c:ser>
          <c:idx val="6"/>
          <c:order val="6"/>
          <c:tx>
            <c:strRef>
              <c:f>'2024'!$A$27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09-418C-B9B7-45BB1177A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'2024'!$B$28:$M$28</c:f>
              <c:numCache>
                <c:formatCode>#,##0</c:formatCode>
                <c:ptCount val="12"/>
                <c:pt idx="0">
                  <c:v>51.722999999999999</c:v>
                </c:pt>
                <c:pt idx="1">
                  <c:v>47.917000000000002</c:v>
                </c:pt>
                <c:pt idx="2">
                  <c:v>45.72</c:v>
                </c:pt>
                <c:pt idx="3">
                  <c:v>40.491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2-42A2-916D-71D1BABE954D}"/>
            </c:ext>
          </c:extLst>
        </c:ser>
        <c:ser>
          <c:idx val="1"/>
          <c:order val="1"/>
          <c:tx>
            <c:strRef>
              <c:f>'2024'!$A$29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2-42A2-916D-71D1BABE954D}"/>
            </c:ext>
          </c:extLst>
        </c:ser>
        <c:ser>
          <c:idx val="2"/>
          <c:order val="2"/>
          <c:tx>
            <c:strRef>
              <c:f>'2024'!$A$30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'2024'!$B$30:$M$30</c:f>
              <c:numCache>
                <c:formatCode>#,##0</c:formatCode>
                <c:ptCount val="12"/>
                <c:pt idx="0">
                  <c:v>895.24099999999999</c:v>
                </c:pt>
                <c:pt idx="1">
                  <c:v>847.84</c:v>
                </c:pt>
                <c:pt idx="2">
                  <c:v>801.21</c:v>
                </c:pt>
                <c:pt idx="3">
                  <c:v>767.08299999999997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2-42A2-916D-71D1BABE9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3-420F-9647-F9C89A5D104C}"/>
            </c:ext>
          </c:extLst>
        </c:ser>
        <c:ser>
          <c:idx val="1"/>
          <c:order val="1"/>
          <c:tx>
            <c:strRef>
              <c:f>'2024'!$A$32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'2024'!$B$32:$M$32</c:f>
              <c:numCache>
                <c:formatCode>#,##0</c:formatCode>
                <c:ptCount val="12"/>
                <c:pt idx="0">
                  <c:v>254.19</c:v>
                </c:pt>
                <c:pt idx="1">
                  <c:v>218.411</c:v>
                </c:pt>
                <c:pt idx="2">
                  <c:v>292.517</c:v>
                </c:pt>
                <c:pt idx="3">
                  <c:v>271.846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3-420F-9647-F9C89A5D104C}"/>
            </c:ext>
          </c:extLst>
        </c:ser>
        <c:ser>
          <c:idx val="2"/>
          <c:order val="2"/>
          <c:tx>
            <c:strRef>
              <c:f>'2024'!$A$33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'2024'!$B$33:$M$33</c:f>
              <c:numCache>
                <c:formatCode>#,##0</c:formatCode>
                <c:ptCount val="12"/>
                <c:pt idx="0">
                  <c:v>35.982999999999997</c:v>
                </c:pt>
                <c:pt idx="1">
                  <c:v>46.74</c:v>
                </c:pt>
                <c:pt idx="2">
                  <c:v>23.43</c:v>
                </c:pt>
                <c:pt idx="3">
                  <c:v>27.341000000000001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3-420F-9647-F9C89A5D104C}"/>
            </c:ext>
          </c:extLst>
        </c:ser>
        <c:ser>
          <c:idx val="3"/>
          <c:order val="3"/>
          <c:tx>
            <c:strRef>
              <c:f>'2024'!$A$34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'2024'!$B$34:$M$34</c:f>
              <c:numCache>
                <c:formatCode>#,##0</c:formatCode>
                <c:ptCount val="12"/>
                <c:pt idx="0">
                  <c:v>13.041</c:v>
                </c:pt>
                <c:pt idx="1">
                  <c:v>19.974</c:v>
                </c:pt>
                <c:pt idx="2">
                  <c:v>7.0830000000000002</c:v>
                </c:pt>
                <c:pt idx="3">
                  <c:v>6.8419999999999996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53-420F-9647-F9C89A5D104C}"/>
            </c:ext>
          </c:extLst>
        </c:ser>
        <c:ser>
          <c:idx val="4"/>
          <c:order val="4"/>
          <c:tx>
            <c:strRef>
              <c:f>'2024'!$A$35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'2024'!$B$35:$M$35</c:f>
              <c:numCache>
                <c:formatCode>#,##0</c:formatCode>
                <c:ptCount val="12"/>
                <c:pt idx="0">
                  <c:v>63.41</c:v>
                </c:pt>
                <c:pt idx="1">
                  <c:v>61.116</c:v>
                </c:pt>
                <c:pt idx="2">
                  <c:v>61.688000000000002</c:v>
                </c:pt>
                <c:pt idx="3">
                  <c:v>54.295999999999999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53-420F-9647-F9C89A5D104C}"/>
            </c:ext>
          </c:extLst>
        </c:ser>
        <c:ser>
          <c:idx val="5"/>
          <c:order val="5"/>
          <c:tx>
            <c:strRef>
              <c:f>'2024'!$A$36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53-420F-9647-F9C89A5D104C}"/>
            </c:ext>
          </c:extLst>
        </c:ser>
        <c:ser>
          <c:idx val="6"/>
          <c:order val="6"/>
          <c:tx>
            <c:strRef>
              <c:f>'2024'!$A$37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'2024'!$B$37:$M$37</c:f>
              <c:numCache>
                <c:formatCode>#,##0</c:formatCode>
                <c:ptCount val="12"/>
                <c:pt idx="0">
                  <c:v>1932.47</c:v>
                </c:pt>
                <c:pt idx="1">
                  <c:v>1785.873</c:v>
                </c:pt>
                <c:pt idx="2">
                  <c:v>1766.7179999999998</c:v>
                </c:pt>
                <c:pt idx="3">
                  <c:v>1751.6610000000001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53-420F-9647-F9C89A5D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6-41AD-A555-7BC5DFDBDBF9}"/>
            </c:ext>
          </c:extLst>
        </c:ser>
        <c:ser>
          <c:idx val="1"/>
          <c:order val="1"/>
          <c:tx>
            <c:strRef>
              <c:f>'2024'!$A$38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'2024'!$B$38:$M$38</c:f>
              <c:numCache>
                <c:formatCode>#,##0</c:formatCode>
                <c:ptCount val="12"/>
                <c:pt idx="0">
                  <c:v>0</c:v>
                </c:pt>
                <c:pt idx="1">
                  <c:v>7.27</c:v>
                </c:pt>
                <c:pt idx="2">
                  <c:v>18.771000000000001</c:v>
                </c:pt>
                <c:pt idx="3">
                  <c:v>22.597000000000001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6-41AD-A555-7BC5DFDBDBF9}"/>
            </c:ext>
          </c:extLst>
        </c:ser>
        <c:ser>
          <c:idx val="2"/>
          <c:order val="2"/>
          <c:tx>
            <c:strRef>
              <c:f>'2024'!$A$39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'2024'!$B$39:$M$39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17.826000000000001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66-41AD-A555-7BC5DFDBD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600075</xdr:colOff>
      <xdr:row>0</xdr:row>
      <xdr:rowOff>104771</xdr:rowOff>
    </xdr:from>
    <xdr:ext cx="2447921" cy="1466854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466854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  <a:ea typeface="+mn-ea"/>
              <a:cs typeface="+mn-cs"/>
            </a:rPr>
            <a:t>DIRECCIÓN GENERAL DE PLANIFICACIÓN Y</a:t>
          </a:r>
        </a:p>
        <a:p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  <a:ea typeface="+mn-ea"/>
              <a:cs typeface="+mn-cs"/>
            </a:rPr>
            <a:t>COORDINACIÓN ENERGÉTICA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all" spc="0" baseline="0">
            <a:solidFill>
              <a:srgbClr val="000000"/>
            </a:solidFill>
            <a:uFillTx/>
            <a:latin typeface="Calibri"/>
          </a:endParaRPr>
        </a:p>
        <a:p>
          <a:pPr rtl="0" fontAlgn="auto" hangingPunct="1"/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  <a:ea typeface="+mn-ea"/>
              <a:cs typeface="+mn-cs"/>
            </a:rPr>
            <a:t>SUBDIRECCIÓN GENERAL de Prospectiva y estadísticas energéticas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  <xdr:twoCellAnchor editAs="oneCell">
    <xdr:from>
      <xdr:col>0</xdr:col>
      <xdr:colOff>57150</xdr:colOff>
      <xdr:row>1</xdr:row>
      <xdr:rowOff>47621</xdr:rowOff>
    </xdr:from>
    <xdr:to>
      <xdr:col>4</xdr:col>
      <xdr:colOff>278130</xdr:colOff>
      <xdr:row>5</xdr:row>
      <xdr:rowOff>156841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E348F5-531E-6E8B-40CC-C6562913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8596"/>
          <a:ext cx="3268980" cy="833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C362803-F016-4F1F-9474-CD640EF00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D6034003-95A7-44EF-90B1-C2D9C8900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30981</xdr:colOff>
      <xdr:row>14</xdr:row>
      <xdr:rowOff>191221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8918E05B-0331-4E03-B740-666D897B0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460242</xdr:colOff>
      <xdr:row>14</xdr:row>
      <xdr:rowOff>195299</xdr:rowOff>
    </xdr:from>
    <xdr:ext cx="4637314" cy="3030315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4E073480-E071-4CC7-A19A-FBDFC794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220435</xdr:rowOff>
    </xdr:from>
    <xdr:ext cx="4626430" cy="2894239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5287E04B-B03B-4142-9FBE-FF306E421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226942</xdr:rowOff>
    </xdr:from>
    <xdr:ext cx="4233986" cy="2897257"/>
    <xdr:graphicFrame macro="">
      <xdr:nvGraphicFramePr>
        <xdr:cNvPr id="7" name="Gráfico 15">
          <a:extLst>
            <a:ext uri="{FF2B5EF4-FFF2-40B4-BE49-F238E27FC236}">
              <a16:creationId xmlns:a16="http://schemas.microsoft.com/office/drawing/2014/main" id="{8982ED69-E3E3-46F7-B990-39CD6399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7258</xdr:colOff>
      <xdr:row>44</xdr:row>
      <xdr:rowOff>90014</xdr:rowOff>
    </xdr:from>
    <xdr:ext cx="4669517" cy="2662504"/>
    <xdr:graphicFrame macro="">
      <xdr:nvGraphicFramePr>
        <xdr:cNvPr id="8" name="Gráfico 16">
          <a:extLst>
            <a:ext uri="{FF2B5EF4-FFF2-40B4-BE49-F238E27FC236}">
              <a16:creationId xmlns:a16="http://schemas.microsoft.com/office/drawing/2014/main" id="{1BF0CEBB-37D6-497A-88C1-6028D6E71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421822</xdr:colOff>
      <xdr:row>44</xdr:row>
      <xdr:rowOff>92994</xdr:rowOff>
    </xdr:from>
    <xdr:ext cx="4626427" cy="2656599"/>
    <xdr:graphicFrame macro="">
      <xdr:nvGraphicFramePr>
        <xdr:cNvPr id="9" name="Gráfico 17">
          <a:extLst>
            <a:ext uri="{FF2B5EF4-FFF2-40B4-BE49-F238E27FC236}">
              <a16:creationId xmlns:a16="http://schemas.microsoft.com/office/drawing/2014/main" id="{D96D8991-47E7-4555-A1BD-2F2A1C911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789333</xdr:colOff>
      <xdr:row>44</xdr:row>
      <xdr:rowOff>104481</xdr:rowOff>
    </xdr:from>
    <xdr:ext cx="4238211" cy="2656940"/>
    <xdr:graphicFrame macro="">
      <xdr:nvGraphicFramePr>
        <xdr:cNvPr id="10" name="Gráfico 18">
          <a:extLst>
            <a:ext uri="{FF2B5EF4-FFF2-40B4-BE49-F238E27FC236}">
              <a16:creationId xmlns:a16="http://schemas.microsoft.com/office/drawing/2014/main" id="{4DCBBE7B-E57E-4C3E-A559-4583BD52D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59</xdr:row>
      <xdr:rowOff>26349</xdr:rowOff>
    </xdr:from>
    <xdr:ext cx="4680203" cy="2848840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BB038CC-D89A-4551-8AC2-1FD91B20B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59</xdr:row>
      <xdr:rowOff>32275</xdr:rowOff>
    </xdr:from>
    <xdr:ext cx="4624534" cy="2844158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36A6EC59-FCBE-4E8C-8201-8FE49085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59</xdr:row>
      <xdr:rowOff>30136</xdr:rowOff>
    </xdr:from>
    <xdr:ext cx="4241259" cy="2845053"/>
    <xdr:graphicFrame macro="">
      <xdr:nvGraphicFramePr>
        <xdr:cNvPr id="13" name="Gráfico 21">
          <a:extLst>
            <a:ext uri="{FF2B5EF4-FFF2-40B4-BE49-F238E27FC236}">
              <a16:creationId xmlns:a16="http://schemas.microsoft.com/office/drawing/2014/main" id="{D241EB8C-9922-4197-885C-0E4FAB21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4" name="Gráfico 19">
          <a:extLst>
            <a:ext uri="{FF2B5EF4-FFF2-40B4-BE49-F238E27FC236}">
              <a16:creationId xmlns:a16="http://schemas.microsoft.com/office/drawing/2014/main" id="{2CFFB7BE-4A78-444D-B987-46D14774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4D913FD-A7DA-431E-889D-A53B9B133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6" name="Gráfico 23">
          <a:extLst>
            <a:ext uri="{FF2B5EF4-FFF2-40B4-BE49-F238E27FC236}">
              <a16:creationId xmlns:a16="http://schemas.microsoft.com/office/drawing/2014/main" id="{7DDCE491-F055-47DE-B3B4-EE132F74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221673</xdr:rowOff>
    </xdr:from>
    <xdr:to>
      <xdr:col>32</xdr:col>
      <xdr:colOff>312965</xdr:colOff>
      <xdr:row>43</xdr:row>
      <xdr:rowOff>177248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B6B0324-DCFC-45E8-B982-89B1316F2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18" name="Gráfico 1">
          <a:extLst>
            <a:ext uri="{FF2B5EF4-FFF2-40B4-BE49-F238E27FC236}">
              <a16:creationId xmlns:a16="http://schemas.microsoft.com/office/drawing/2014/main" id="{28AC365A-6F9A-4657-AD6D-D4C52228E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15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20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20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14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20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15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20</xdr:col>
      <xdr:colOff>765791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15</xdr:col>
      <xdr:colOff>71742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15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20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51956</xdr:colOff>
      <xdr:row>24</xdr:row>
      <xdr:rowOff>86590</xdr:rowOff>
    </xdr:from>
    <xdr:ext cx="5962402" cy="3936321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11205</xdr:rowOff>
    </xdr:from>
    <xdr:ext cx="7958132" cy="7093324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workbookViewId="0">
      <selection activeCell="K9" sqref="K9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91" t="s">
        <v>59</v>
      </c>
      <c r="C13" s="91"/>
      <c r="D13" s="91"/>
      <c r="E13" s="91"/>
      <c r="F13" s="91"/>
      <c r="G13" s="91"/>
      <c r="H13" s="91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91"/>
      <c r="C14" s="91"/>
      <c r="D14" s="91"/>
      <c r="E14" s="91"/>
      <c r="F14" s="91"/>
      <c r="G14" s="91"/>
      <c r="H14" s="91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92" t="str">
        <f>'2024'!AV3</f>
        <v>ABRIL 2024</v>
      </c>
      <c r="C16" s="92"/>
      <c r="D16" s="92"/>
      <c r="E16" s="92"/>
      <c r="F16" s="92"/>
      <c r="G16" s="92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92"/>
      <c r="C17" s="92"/>
      <c r="D17" s="92"/>
      <c r="E17" s="92"/>
      <c r="F17" s="92"/>
      <c r="G17" s="92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92"/>
      <c r="C18" s="92"/>
      <c r="D18" s="92"/>
      <c r="E18" s="92"/>
      <c r="F18" s="92"/>
      <c r="G18" s="92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93" t="s">
        <v>63</v>
      </c>
      <c r="B34" s="93"/>
      <c r="C34" s="93"/>
      <c r="D34" s="93"/>
      <c r="E34" s="93"/>
      <c r="F34" s="93"/>
      <c r="G34" s="93"/>
      <c r="H34" s="9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J58" sqref="J58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250"/>
  <sheetViews>
    <sheetView showGridLines="0" zoomScale="70" zoomScaleNormal="70" workbookViewId="0">
      <selection activeCell="N5" sqref="N5:N49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0.25" customWidth="1"/>
    <col min="15" max="15" width="3.75" customWidth="1"/>
    <col min="27" max="27" width="13.125" customWidth="1"/>
    <col min="43" max="43" width="9.75" customWidth="1"/>
    <col min="44" max="47" width="18.875" style="1" customWidth="1"/>
    <col min="48" max="48" width="13.75" style="1" customWidth="1"/>
    <col min="49" max="53" width="18.875" style="1" customWidth="1"/>
  </cols>
  <sheetData>
    <row r="1" spans="1:53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Q1" s="53"/>
      <c r="AE1" s="53"/>
    </row>
    <row r="2" spans="1:53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3" x14ac:dyDescent="0.2">
      <c r="AV3" s="82"/>
    </row>
    <row r="4" spans="1:53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83"/>
      <c r="AS4" s="83"/>
      <c r="AT4" s="83"/>
      <c r="AU4" s="83"/>
      <c r="AV4" s="83"/>
      <c r="AW4" s="83"/>
      <c r="AX4" s="83"/>
      <c r="AY4" s="83"/>
      <c r="AZ4" s="83"/>
      <c r="BA4" s="83"/>
    </row>
    <row r="5" spans="1:53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>
        <v>0.13800000000000001</v>
      </c>
      <c r="N5" s="20">
        <f>SUM(B5:M5)</f>
        <v>0.67200000000000004</v>
      </c>
      <c r="P5" s="34"/>
      <c r="Q5" s="34"/>
      <c r="R5" s="47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>
        <v>5093.4520000000002</v>
      </c>
      <c r="N6" s="25">
        <f>SUM(B6:M6)</f>
        <v>61558.654000000002</v>
      </c>
      <c r="P6" s="34"/>
      <c r="Q6" s="34"/>
      <c r="R6" s="47"/>
      <c r="AR6" s="32"/>
      <c r="AS6" s="32"/>
      <c r="AT6" s="32"/>
      <c r="AU6" s="84"/>
      <c r="AV6" s="85"/>
      <c r="AW6" s="32"/>
      <c r="AX6" s="32"/>
      <c r="AY6" s="32"/>
      <c r="AZ6" s="32"/>
      <c r="BA6" s="32"/>
    </row>
    <row r="7" spans="1:53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>
        <v>-212.04200000000037</v>
      </c>
      <c r="N7" s="29">
        <f t="shared" ref="N7:N49" si="0">SUM(B7:M7)</f>
        <v>-346.42199999999957</v>
      </c>
      <c r="P7" s="34"/>
      <c r="Q7" s="34"/>
      <c r="R7" s="47"/>
      <c r="AR7" s="32"/>
      <c r="AS7" s="32"/>
      <c r="AT7" s="32"/>
      <c r="AU7" s="84"/>
      <c r="AV7" s="85"/>
      <c r="AW7" s="32"/>
      <c r="AX7" s="32"/>
      <c r="AY7" s="32"/>
      <c r="AZ7" s="32"/>
      <c r="BA7" s="32"/>
    </row>
    <row r="8" spans="1:53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>
        <v>-387.00400000000002</v>
      </c>
      <c r="N8" s="29">
        <f t="shared" si="0"/>
        <v>-326.49300000000005</v>
      </c>
      <c r="P8" s="34"/>
      <c r="Q8" s="34"/>
      <c r="R8" s="47"/>
      <c r="AR8" s="32"/>
      <c r="AS8" s="32"/>
      <c r="AT8" s="32"/>
      <c r="AU8" s="84"/>
      <c r="AV8" s="85"/>
      <c r="AW8" s="32"/>
      <c r="AX8" s="32"/>
      <c r="AY8" s="32"/>
      <c r="AZ8" s="32"/>
      <c r="BA8" s="32"/>
    </row>
    <row r="9" spans="1:53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>
        <v>-269.74599999999998</v>
      </c>
      <c r="N9" s="29">
        <f t="shared" si="0"/>
        <v>-25.735999999999933</v>
      </c>
      <c r="P9" s="34"/>
      <c r="Q9" s="34"/>
      <c r="R9" s="47"/>
      <c r="AR9" s="32"/>
      <c r="AS9" s="32"/>
      <c r="AT9" s="32"/>
      <c r="AU9" s="32"/>
      <c r="AV9" s="85"/>
      <c r="AW9" s="32"/>
      <c r="AX9" s="32"/>
      <c r="AY9" s="32"/>
      <c r="AZ9" s="32"/>
      <c r="BA9" s="32"/>
    </row>
    <row r="10" spans="1:53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>
        <v>40.655000000000001</v>
      </c>
      <c r="N10" s="29">
        <f t="shared" si="0"/>
        <v>899.87900000000002</v>
      </c>
      <c r="P10" s="34"/>
      <c r="Q10" s="34"/>
      <c r="R10" s="47"/>
      <c r="AR10" s="32"/>
      <c r="AS10" s="32"/>
      <c r="AT10" s="32"/>
      <c r="AU10" s="32"/>
      <c r="AV10" s="85"/>
      <c r="AW10" s="32"/>
      <c r="AX10" s="32"/>
      <c r="AY10" s="32"/>
      <c r="AZ10" s="32"/>
      <c r="BA10" s="32"/>
    </row>
    <row r="11" spans="1:53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55"/>
      <c r="R11" s="47"/>
      <c r="AR11" s="32"/>
      <c r="AS11" s="32"/>
      <c r="AT11" s="32"/>
      <c r="AU11" s="84"/>
      <c r="AV11" s="85"/>
      <c r="AW11" s="32"/>
      <c r="AX11" s="32"/>
      <c r="AY11" s="32"/>
      <c r="AZ11" s="32"/>
      <c r="BA11" s="32"/>
    </row>
    <row r="12" spans="1:53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>
        <v>5578.9529999999995</v>
      </c>
      <c r="N12" s="25">
        <f>SUM(B12:M12)</f>
        <v>62465.011999999995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86"/>
      <c r="AS12" s="86"/>
      <c r="AT12" s="86"/>
      <c r="AU12" s="84"/>
      <c r="AV12" s="87"/>
      <c r="AW12" s="86"/>
      <c r="AX12" s="86"/>
      <c r="AY12" s="86"/>
      <c r="AZ12" s="86"/>
      <c r="BA12" s="86"/>
    </row>
    <row r="13" spans="1:53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>
        <v>5480.5940000000001</v>
      </c>
      <c r="N13" s="29">
        <f t="shared" si="0"/>
        <v>61885.819000000003</v>
      </c>
      <c r="P13" s="34"/>
      <c r="Q13" s="34"/>
      <c r="R13" s="47"/>
      <c r="AR13" s="32"/>
      <c r="AS13" s="32"/>
      <c r="AT13" s="32"/>
      <c r="AU13" s="84"/>
      <c r="AV13" s="85"/>
      <c r="AW13" s="32"/>
      <c r="AX13" s="32"/>
      <c r="AY13" s="32"/>
      <c r="AZ13" s="32"/>
      <c r="BA13" s="32"/>
    </row>
    <row r="14" spans="1:53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>
        <v>98.569999999998799</v>
      </c>
      <c r="N14" s="29">
        <f t="shared" si="0"/>
        <v>991.699999999998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R14" s="32"/>
      <c r="AS14" s="32"/>
      <c r="AT14" s="32"/>
      <c r="AU14" s="84"/>
      <c r="AV14" s="85"/>
      <c r="AW14" s="32"/>
      <c r="AX14" s="32"/>
      <c r="AY14" s="32"/>
      <c r="AZ14" s="32"/>
      <c r="BA14" s="32"/>
    </row>
    <row r="15" spans="1:53" s="32" customFormat="1" ht="21" customHeight="1" x14ac:dyDescent="0.2">
      <c r="A15" s="22" t="s">
        <v>9</v>
      </c>
      <c r="B15" s="24">
        <f t="shared" ref="B15:M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4955.7249999999995</v>
      </c>
      <c r="M15" s="24">
        <f t="shared" si="1"/>
        <v>5480.3830000000007</v>
      </c>
      <c r="N15" s="25">
        <f t="shared" si="0"/>
        <v>61473.311999999991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U15" s="84"/>
      <c r="AV15" s="85"/>
    </row>
    <row r="16" spans="1:53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>
        <v>172.76499999999999</v>
      </c>
      <c r="N16" s="4">
        <f t="shared" si="0"/>
        <v>2094.491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8"/>
      <c r="AV17" s="89"/>
      <c r="AW17" s="89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>
        <v>119.40300000000001</v>
      </c>
      <c r="N18" s="4">
        <f t="shared" si="0"/>
        <v>1055.7279999999998</v>
      </c>
      <c r="AU18" s="88"/>
      <c r="AV18" s="89"/>
      <c r="AW18" s="89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>
        <v>35.778000000000006</v>
      </c>
      <c r="N19" s="4">
        <f t="shared" si="0"/>
        <v>138.84900000000005</v>
      </c>
      <c r="AU19" s="88"/>
      <c r="AV19" s="89"/>
      <c r="AW19" s="89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>
        <v>148.899</v>
      </c>
      <c r="N20" s="4">
        <f t="shared" si="0"/>
        <v>1641.7580000000003</v>
      </c>
      <c r="AU20" s="88"/>
      <c r="AV20" s="89"/>
      <c r="AW20" s="89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AU21" s="88"/>
      <c r="AV21" s="89"/>
      <c r="AW21" s="89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>
        <v>46.793999999999997</v>
      </c>
      <c r="N22" s="4">
        <f t="shared" si="0"/>
        <v>945.81700000000001</v>
      </c>
      <c r="AU22" s="88"/>
      <c r="AV22" s="89"/>
      <c r="AW22" s="89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>
        <v>4.5110000000000001</v>
      </c>
      <c r="N23" s="4">
        <f t="shared" si="0"/>
        <v>97.459000000000003</v>
      </c>
      <c r="AU23" s="88"/>
      <c r="AV23" s="89"/>
      <c r="AW23" s="89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AU24" s="88"/>
      <c r="AV24" s="89"/>
      <c r="AW24" s="89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>
        <v>761.822</v>
      </c>
      <c r="N25" s="4">
        <f t="shared" si="0"/>
        <v>8649.3249999999989</v>
      </c>
      <c r="AU25" s="88"/>
      <c r="AV25" s="89"/>
      <c r="AW25" s="89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AU26" s="88"/>
      <c r="AV26" s="89"/>
      <c r="AW26" s="89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AU27" s="88"/>
      <c r="AV27" s="89"/>
      <c r="AW27" s="89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>
        <v>27.428999999999998</v>
      </c>
      <c r="N28" s="4">
        <f t="shared" si="0"/>
        <v>398.375</v>
      </c>
      <c r="AU28" s="88"/>
      <c r="AV28" s="89"/>
      <c r="AW28" s="89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AU29" s="88"/>
      <c r="AV29" s="89"/>
      <c r="AW29" s="89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>
        <v>896.38599999999997</v>
      </c>
      <c r="N30" s="4">
        <f t="shared" si="0"/>
        <v>9387.0400000000009</v>
      </c>
      <c r="AU30" s="88"/>
      <c r="AV30" s="89"/>
      <c r="AW30" s="89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AU31" s="88"/>
      <c r="AV31" s="89"/>
      <c r="AW31" s="89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83.861999999999995</v>
      </c>
      <c r="M32" s="2">
        <v>202.62200000000001</v>
      </c>
      <c r="N32" s="4">
        <f t="shared" si="0"/>
        <v>2479.116</v>
      </c>
      <c r="AU32" s="88"/>
      <c r="AV32" s="89"/>
      <c r="AW32" s="89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>
        <v>30.881</v>
      </c>
      <c r="N33" s="4">
        <f t="shared" si="0"/>
        <v>270.95500000000004</v>
      </c>
      <c r="AU33" s="88"/>
      <c r="AV33" s="89"/>
      <c r="AW33" s="89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>
        <v>16.524000000000001</v>
      </c>
      <c r="N34" s="4">
        <f t="shared" si="0"/>
        <v>92.393000000000001</v>
      </c>
      <c r="AU34" s="88"/>
      <c r="AV34" s="89"/>
      <c r="AW34" s="89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>
        <v>42.896000000000001</v>
      </c>
      <c r="N35" s="4">
        <f t="shared" si="0"/>
        <v>664.36899999999991</v>
      </c>
      <c r="AU35" s="88"/>
      <c r="AV35" s="89"/>
      <c r="AW35" s="89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  <c r="AU36" s="88"/>
      <c r="AV36" s="89"/>
      <c r="AW36" s="89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1843.386</v>
      </c>
      <c r="M37" s="2">
        <v>1917.722</v>
      </c>
      <c r="N37" s="4">
        <f t="shared" si="0"/>
        <v>22082.314000000002</v>
      </c>
      <c r="AU37" s="88"/>
      <c r="AV37" s="89"/>
      <c r="AW37" s="89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19.768999999999998</v>
      </c>
      <c r="M38" s="2">
        <v>8.8930000000000007</v>
      </c>
      <c r="N38" s="4">
        <f t="shared" si="0"/>
        <v>142.107</v>
      </c>
      <c r="AU38" s="88"/>
      <c r="AV38" s="89"/>
      <c r="AW38" s="89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  <c r="AU39" s="88"/>
      <c r="AV39" s="89"/>
      <c r="AW39" s="89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>
        <v>0</v>
      </c>
      <c r="N40" s="4">
        <f t="shared" si="0"/>
        <v>1E-3</v>
      </c>
      <c r="AU40" s="88"/>
      <c r="AV40" s="89"/>
      <c r="AW40" s="89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>
        <v>0.33700000000000002</v>
      </c>
      <c r="N41" s="4">
        <f t="shared" si="0"/>
        <v>5.0659999999999998</v>
      </c>
      <c r="AU41" s="88"/>
      <c r="AV41" s="89"/>
      <c r="AW41" s="89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3.0000000000000001E-3</v>
      </c>
      <c r="AU42" s="88"/>
      <c r="AV42" s="89"/>
      <c r="AW42" s="89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>
        <v>393.62</v>
      </c>
      <c r="N43" s="4">
        <f t="shared" si="0"/>
        <v>3941.1609999999996</v>
      </c>
      <c r="AU43" s="88"/>
      <c r="AV43" s="89"/>
      <c r="AW43" s="89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>
        <v>28.454999999999998</v>
      </c>
      <c r="N44" s="4">
        <f t="shared" si="0"/>
        <v>310.36</v>
      </c>
      <c r="AU44" s="88"/>
      <c r="AV44" s="89"/>
      <c r="AW44" s="89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>
        <v>149.584</v>
      </c>
      <c r="N45" s="4">
        <f t="shared" si="0"/>
        <v>1822.5049999999999</v>
      </c>
      <c r="AU45" s="88"/>
      <c r="AV45" s="89"/>
      <c r="AW45" s="89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>
        <v>10.369</v>
      </c>
      <c r="N46" s="4">
        <f t="shared" si="0"/>
        <v>122.27900000000001</v>
      </c>
      <c r="AU46" s="88"/>
      <c r="AV46" s="89"/>
      <c r="AW46" s="89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>
        <v>5.2770000000000001</v>
      </c>
      <c r="N47" s="4">
        <f t="shared" si="0"/>
        <v>68.566999999999993</v>
      </c>
      <c r="AU47" s="88"/>
      <c r="AV47" s="89"/>
      <c r="AW47" s="89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>
        <v>297.44400000000002</v>
      </c>
      <c r="N48" s="4">
        <f t="shared" si="0"/>
        <v>3457.4449999999997</v>
      </c>
      <c r="AU48" s="88"/>
      <c r="AV48" s="89"/>
      <c r="AW48" s="89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>
        <v>161.97200000000066</v>
      </c>
      <c r="N49" s="6">
        <f t="shared" si="0"/>
        <v>1605.8290000000018</v>
      </c>
      <c r="AU49" s="88"/>
      <c r="AV49" s="89"/>
      <c r="AW49" s="89"/>
    </row>
    <row r="50" spans="1:49" x14ac:dyDescent="0.2">
      <c r="F50" s="41"/>
      <c r="AU50" s="88"/>
      <c r="AW50" s="89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5C67-58B8-4005-8104-43BA27B6D527}">
  <sheetPr>
    <pageSetUpPr fitToPage="1"/>
  </sheetPr>
  <dimension ref="A1:BI250"/>
  <sheetViews>
    <sheetView showGridLines="0" tabSelected="1" zoomScale="70" zoomScaleNormal="70" workbookViewId="0">
      <selection activeCell="AB30" sqref="AB30:AQ76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1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0" width="11.5" style="1"/>
    <col min="51" max="51" width="11.5" style="72"/>
    <col min="52" max="61" width="11.5" style="1"/>
  </cols>
  <sheetData>
    <row r="1" spans="1:61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Q1" s="53" t="str">
        <f>"MOVIMIENTO DE CRUDOS Y OBTENCIÓN DE PRODUCTOS PETROLÍFEROS - " &amp;AV3</f>
        <v>MOVIMIENTO DE CRUDOS Y OBTENCIÓN DE PRODUCTOS PETROLÍFEROS - ABRIL 2024</v>
      </c>
      <c r="AE1" s="53" t="s">
        <v>62</v>
      </c>
    </row>
    <row r="2" spans="1:6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61" x14ac:dyDescent="0.2">
      <c r="AV3" s="73" t="str">
        <f>UPPER(TEXT(MAXA(B4:M4),"mmmm aaaa"))</f>
        <v>ABRIL 2024</v>
      </c>
    </row>
    <row r="4" spans="1:61" s="16" customFormat="1" ht="21" customHeight="1" x14ac:dyDescent="0.2">
      <c r="A4" s="11" t="s">
        <v>13</v>
      </c>
      <c r="B4" s="12">
        <v>45292</v>
      </c>
      <c r="C4" s="13">
        <v>45323</v>
      </c>
      <c r="D4" s="13">
        <v>45352</v>
      </c>
      <c r="E4" s="14">
        <v>45383</v>
      </c>
      <c r="F4" s="14"/>
      <c r="G4" s="14"/>
      <c r="H4" s="14"/>
      <c r="I4" s="14"/>
      <c r="J4" s="14"/>
      <c r="K4" s="14"/>
      <c r="L4" s="14"/>
      <c r="M4" s="14"/>
      <c r="N4" s="15" t="s">
        <v>61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83"/>
      <c r="AT4" s="74"/>
      <c r="AU4" s="74"/>
      <c r="AV4" s="74"/>
      <c r="AW4" s="74"/>
      <c r="AX4" s="83"/>
      <c r="AY4" s="74"/>
      <c r="AZ4" s="83"/>
      <c r="BA4" s="83"/>
      <c r="BB4" s="83"/>
      <c r="BC4" s="83"/>
      <c r="BD4" s="83"/>
      <c r="BE4" s="83"/>
      <c r="BF4" s="83"/>
      <c r="BG4" s="83"/>
      <c r="BH4" s="83"/>
      <c r="BI4" s="83"/>
    </row>
    <row r="5" spans="1:61" s="21" customFormat="1" ht="21" customHeight="1" x14ac:dyDescent="0.2">
      <c r="A5" s="17" t="s">
        <v>0</v>
      </c>
      <c r="B5" s="18">
        <v>0</v>
      </c>
      <c r="C5" s="19">
        <v>7.5999999999999998E-2</v>
      </c>
      <c r="D5" s="19">
        <v>3.5999999999999997E-2</v>
      </c>
      <c r="E5" s="19">
        <v>5.1999999999999998E-2</v>
      </c>
      <c r="F5" s="19"/>
      <c r="G5" s="19"/>
      <c r="H5" s="19"/>
      <c r="I5" s="45"/>
      <c r="J5" s="19"/>
      <c r="K5" s="19"/>
      <c r="L5" s="19"/>
      <c r="M5" s="19"/>
      <c r="N5" s="20">
        <f>SUM(B5:M5)</f>
        <v>0.16399999999999998</v>
      </c>
      <c r="P5" s="34"/>
      <c r="Q5" s="34"/>
      <c r="R5" s="47"/>
      <c r="AS5" s="32"/>
      <c r="AT5" s="75"/>
      <c r="AU5" s="75"/>
      <c r="AV5" s="75"/>
      <c r="AW5" s="75"/>
      <c r="AX5" s="32"/>
      <c r="AY5" s="75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s="21" customFormat="1" ht="21" customHeight="1" x14ac:dyDescent="0.2">
      <c r="A6" s="22" t="s">
        <v>1</v>
      </c>
      <c r="B6" s="23">
        <v>6240.1289999999999</v>
      </c>
      <c r="C6" s="24">
        <v>5087.451</v>
      </c>
      <c r="D6" s="24">
        <v>4917.4210000000003</v>
      </c>
      <c r="E6" s="24">
        <v>6291.4139999999998</v>
      </c>
      <c r="F6" s="24"/>
      <c r="G6" s="24"/>
      <c r="H6" s="24"/>
      <c r="I6" s="24"/>
      <c r="J6" s="24"/>
      <c r="K6" s="24"/>
      <c r="L6" s="24"/>
      <c r="M6" s="24"/>
      <c r="N6" s="25">
        <f>SUM(B6:M6)</f>
        <v>22536.415000000001</v>
      </c>
      <c r="P6" s="34"/>
      <c r="Q6" s="34"/>
      <c r="R6" s="47"/>
      <c r="AS6" s="32"/>
      <c r="AT6" s="75"/>
      <c r="AU6" s="76" t="str">
        <f>A6</f>
        <v>IMPORTACIONES DE CRUDO</v>
      </c>
      <c r="AV6" s="77">
        <f>HLOOKUP(MAXA(B4:M4),$B$4:$M$6,3,FALSE)</f>
        <v>6291.4139999999998</v>
      </c>
      <c r="AW6" s="75"/>
      <c r="AX6" s="32"/>
      <c r="AY6" s="75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 s="21" customFormat="1" ht="21" customHeight="1" x14ac:dyDescent="0.2">
      <c r="A7" s="26" t="s">
        <v>2</v>
      </c>
      <c r="B7" s="27">
        <v>120.79399999999987</v>
      </c>
      <c r="C7" s="28">
        <v>-8.9480000000003201</v>
      </c>
      <c r="D7" s="28">
        <v>-95.347999999999956</v>
      </c>
      <c r="E7" s="28">
        <v>48.972000000000662</v>
      </c>
      <c r="F7" s="28"/>
      <c r="G7" s="28"/>
      <c r="H7" s="28"/>
      <c r="I7" s="28"/>
      <c r="J7" s="28"/>
      <c r="K7" s="28"/>
      <c r="L7" s="28"/>
      <c r="M7" s="28"/>
      <c r="N7" s="29">
        <f t="shared" ref="N7:N49" si="0">SUM(B7:M7)</f>
        <v>65.470000000000255</v>
      </c>
      <c r="P7" s="34"/>
      <c r="Q7" s="34"/>
      <c r="R7" s="47"/>
      <c r="AS7" s="32"/>
      <c r="AT7" s="75"/>
      <c r="AU7" s="76" t="str">
        <f>A12</f>
        <v>TOTAL PROCESADO</v>
      </c>
      <c r="AV7" s="77">
        <f>HLOOKUP(MAXA(B4:M4),$B$4:$M$12,9,FALSE)</f>
        <v>5487.43</v>
      </c>
      <c r="AW7" s="75"/>
      <c r="AX7" s="32"/>
      <c r="AY7" s="75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1:61" s="21" customFormat="1" ht="21" customHeight="1" x14ac:dyDescent="0.2">
      <c r="A8" s="26" t="s">
        <v>3</v>
      </c>
      <c r="B8" s="27">
        <v>518.52800000000002</v>
      </c>
      <c r="C8" s="28">
        <v>-393.85</v>
      </c>
      <c r="D8" s="28">
        <v>-400.02199999999999</v>
      </c>
      <c r="E8" s="28">
        <v>810.17700000000002</v>
      </c>
      <c r="F8" s="28"/>
      <c r="G8" s="28"/>
      <c r="H8" s="28"/>
      <c r="I8" s="28"/>
      <c r="J8" s="28"/>
      <c r="K8" s="28"/>
      <c r="L8" s="28"/>
      <c r="M8" s="28"/>
      <c r="N8" s="29">
        <f t="shared" si="0"/>
        <v>534.83300000000008</v>
      </c>
      <c r="P8" s="34"/>
      <c r="Q8" s="34"/>
      <c r="R8" s="47"/>
      <c r="AS8" s="32"/>
      <c r="AT8" s="75"/>
      <c r="AU8" s="76" t="str">
        <f>A15</f>
        <v>PRODUCCION BRUTA DE REFINERIA</v>
      </c>
      <c r="AV8" s="77">
        <f>HLOOKUP(MAXA(B4:M4),$B$4:$M$15,12,FALSE)</f>
        <v>5268.62</v>
      </c>
      <c r="AW8" s="75"/>
      <c r="AX8" s="32"/>
      <c r="AY8" s="75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s="21" customFormat="1" ht="21" customHeight="1" x14ac:dyDescent="0.2">
      <c r="A9" s="26" t="s">
        <v>4</v>
      </c>
      <c r="B9" s="27">
        <v>170.74199999999996</v>
      </c>
      <c r="C9" s="28">
        <v>12.411000000000001</v>
      </c>
      <c r="D9" s="28">
        <v>-72.739000000000033</v>
      </c>
      <c r="E9" s="28">
        <v>88.158000000000015</v>
      </c>
      <c r="F9" s="28"/>
      <c r="G9" s="28"/>
      <c r="H9" s="28"/>
      <c r="I9" s="28"/>
      <c r="J9" s="28"/>
      <c r="K9" s="28"/>
      <c r="L9" s="28"/>
      <c r="M9" s="28"/>
      <c r="N9" s="29">
        <f t="shared" si="0"/>
        <v>198.57199999999995</v>
      </c>
      <c r="P9" s="34"/>
      <c r="Q9" s="34"/>
      <c r="R9" s="47"/>
      <c r="AS9" s="32"/>
      <c r="AT9" s="75"/>
      <c r="AU9" s="75"/>
      <c r="AV9" s="77"/>
      <c r="AW9" s="75"/>
      <c r="AX9" s="32"/>
      <c r="AY9" s="75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 s="21" customFormat="1" ht="21" customHeight="1" x14ac:dyDescent="0.2">
      <c r="A10" s="26" t="s">
        <v>5</v>
      </c>
      <c r="B10" s="27">
        <v>59.488</v>
      </c>
      <c r="C10" s="28">
        <v>22.417999999999999</v>
      </c>
      <c r="D10" s="28">
        <v>30.14</v>
      </c>
      <c r="E10" s="28">
        <v>45.326999999999998</v>
      </c>
      <c r="F10" s="28"/>
      <c r="G10" s="28"/>
      <c r="H10" s="28"/>
      <c r="I10" s="28"/>
      <c r="J10" s="28"/>
      <c r="K10" s="28"/>
      <c r="L10" s="28"/>
      <c r="M10" s="28"/>
      <c r="N10" s="29">
        <f t="shared" si="0"/>
        <v>157.37299999999999</v>
      </c>
      <c r="P10" s="34"/>
      <c r="Q10" s="34"/>
      <c r="R10" s="47"/>
      <c r="AS10" s="32"/>
      <c r="AT10" s="75"/>
      <c r="AU10" s="75"/>
      <c r="AV10" s="77"/>
      <c r="AW10" s="75"/>
      <c r="AX10" s="32"/>
      <c r="AY10" s="75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1:6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P11" s="35"/>
      <c r="Q11" s="55"/>
      <c r="R11" s="47"/>
      <c r="AS11" s="32"/>
      <c r="AT11" s="75"/>
      <c r="AU11" s="76" t="str">
        <f>A7</f>
        <v>IMPORTACIONES DE PROD. INTERMEDIOS Y MAT. AUXILIARES</v>
      </c>
      <c r="AV11" s="77">
        <f>HLOOKUP(MAXA(B4:M4),$B$4:$M$15,4,FALSE)</f>
        <v>48.972000000000662</v>
      </c>
      <c r="AW11" s="75"/>
      <c r="AX11" s="32"/>
      <c r="AY11" s="75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 s="31" customFormat="1" ht="21" customHeight="1" x14ac:dyDescent="0.2">
      <c r="A12" s="22" t="s">
        <v>7</v>
      </c>
      <c r="B12" s="24">
        <v>5731.1409999999996</v>
      </c>
      <c r="C12" s="24">
        <v>5482.4359999999997</v>
      </c>
      <c r="D12" s="24">
        <v>5325.0100000000011</v>
      </c>
      <c r="E12" s="24">
        <v>5487.43</v>
      </c>
      <c r="F12" s="24"/>
      <c r="G12" s="24"/>
      <c r="H12" s="24"/>
      <c r="I12" s="24"/>
      <c r="J12" s="24"/>
      <c r="K12" s="24"/>
      <c r="L12" s="24"/>
      <c r="M12" s="24"/>
      <c r="N12" s="25">
        <f>SUM(B12:M12)</f>
        <v>22026.017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86"/>
      <c r="AT12" s="78"/>
      <c r="AU12" s="76" t="str">
        <f>A8</f>
        <v>VARIACION DE STOCKS DE CRUDOS (Ef-Ei)</v>
      </c>
      <c r="AV12" s="79">
        <f>HLOOKUP(MAXA(B4:M4),$B$4:$M$15,5,FALSE)</f>
        <v>810.17700000000002</v>
      </c>
      <c r="AW12" s="78"/>
      <c r="AX12" s="86"/>
      <c r="AY12" s="78"/>
      <c r="AZ12" s="86"/>
      <c r="BA12" s="86"/>
      <c r="BB12" s="86"/>
      <c r="BC12" s="86"/>
      <c r="BD12" s="86"/>
      <c r="BE12" s="86"/>
      <c r="BF12" s="86"/>
      <c r="BG12" s="86"/>
      <c r="BH12" s="86"/>
      <c r="BI12" s="86"/>
    </row>
    <row r="13" spans="1:61" s="21" customFormat="1" ht="21" customHeight="1" x14ac:dyDescent="0.2">
      <c r="A13" s="26" t="s">
        <v>12</v>
      </c>
      <c r="B13" s="27">
        <v>5721.6009999999997</v>
      </c>
      <c r="C13" s="28">
        <v>5481.3770000000004</v>
      </c>
      <c r="D13" s="28">
        <v>5317.4790000000003</v>
      </c>
      <c r="E13" s="28">
        <v>5481.2889999999998</v>
      </c>
      <c r="F13" s="28"/>
      <c r="G13" s="28"/>
      <c r="H13" s="28"/>
      <c r="I13" s="28"/>
      <c r="J13" s="28"/>
      <c r="K13" s="28"/>
      <c r="L13" s="28"/>
      <c r="M13" s="28"/>
      <c r="N13" s="29">
        <f t="shared" si="0"/>
        <v>22001.745999999999</v>
      </c>
      <c r="P13" s="34"/>
      <c r="Q13" s="34"/>
      <c r="R13" s="47"/>
      <c r="AS13" s="32"/>
      <c r="AT13" s="75"/>
      <c r="AU13" s="76" t="str">
        <f>A9</f>
        <v>APROVISIONAMIENTO DE PROD. INTERMEDIOS Y MAT. AUXILIARES</v>
      </c>
      <c r="AV13" s="77">
        <f>HLOOKUP(MAXA(B4:M4),$B$4:$M$15,6,FALSE)</f>
        <v>88.158000000000015</v>
      </c>
      <c r="AW13" s="75"/>
      <c r="AX13" s="32"/>
      <c r="AY13" s="75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 s="21" customFormat="1" ht="21" customHeight="1" x14ac:dyDescent="0.2">
      <c r="A14" s="26" t="s">
        <v>8</v>
      </c>
      <c r="B14" s="27">
        <v>103.84400000000005</v>
      </c>
      <c r="C14" s="28">
        <v>263.03199999999924</v>
      </c>
      <c r="D14" s="28">
        <v>95.601000000001477</v>
      </c>
      <c r="E14" s="28">
        <v>218.8100000000004</v>
      </c>
      <c r="F14" s="28"/>
      <c r="G14" s="28"/>
      <c r="H14" s="28"/>
      <c r="I14" s="46"/>
      <c r="J14" s="28"/>
      <c r="K14" s="28"/>
      <c r="L14" s="28"/>
      <c r="M14" s="28"/>
      <c r="N14" s="29">
        <f t="shared" si="0"/>
        <v>681.28700000000117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32"/>
      <c r="AT14" s="75"/>
      <c r="AU14" s="76" t="str">
        <f>A10</f>
        <v>PRODUCTOS TRASPASADOS Y BACKFLOWS</v>
      </c>
      <c r="AV14" s="77">
        <f>HLOOKUP(MAXA(B4:M4),$B$4:$M$15,7,FALSE)</f>
        <v>45.326999999999998</v>
      </c>
      <c r="AW14" s="75"/>
      <c r="AX14" s="32"/>
      <c r="AY14" s="75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1:61" s="32" customFormat="1" ht="21" customHeight="1" x14ac:dyDescent="0.2">
      <c r="A15" s="22" t="s">
        <v>9</v>
      </c>
      <c r="B15" s="24">
        <f>SUM(B16:B49)</f>
        <v>5627.2970000000005</v>
      </c>
      <c r="C15" s="24">
        <f>SUM(C16:C49)</f>
        <v>5219.4040000000005</v>
      </c>
      <c r="D15" s="24">
        <f>SUM(D16:D49)</f>
        <v>5229.4089999999997</v>
      </c>
      <c r="E15" s="24">
        <f>SUM(E16:E49)</f>
        <v>5268.62</v>
      </c>
      <c r="F15" s="24"/>
      <c r="G15" s="24"/>
      <c r="H15" s="24"/>
      <c r="I15" s="24"/>
      <c r="J15" s="24"/>
      <c r="K15" s="24"/>
      <c r="L15" s="24"/>
      <c r="M15" s="24"/>
      <c r="N15" s="25">
        <f t="shared" si="0"/>
        <v>21344.73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Y15" s="75"/>
    </row>
    <row r="16" spans="1:61" ht="16.5" customHeight="1" x14ac:dyDescent="0.2">
      <c r="A16" s="9" t="s">
        <v>14</v>
      </c>
      <c r="B16" s="3">
        <v>171.17400000000001</v>
      </c>
      <c r="C16" s="2">
        <v>141.738</v>
      </c>
      <c r="D16" s="2">
        <v>171.87</v>
      </c>
      <c r="E16" s="2">
        <v>170.124</v>
      </c>
      <c r="F16" s="2"/>
      <c r="G16" s="2"/>
      <c r="H16" s="2"/>
      <c r="I16" s="2"/>
      <c r="J16" s="2"/>
      <c r="K16" s="2"/>
      <c r="L16" s="2"/>
      <c r="M16" s="2"/>
      <c r="N16" s="4">
        <f t="shared" si="0"/>
        <v>654.90600000000006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170.124</v>
      </c>
      <c r="AW17" s="81"/>
    </row>
    <row r="18" spans="1:49" ht="16.5" customHeight="1" x14ac:dyDescent="0.2">
      <c r="A18" s="9" t="s">
        <v>16</v>
      </c>
      <c r="B18" s="3">
        <v>108.21899999999999</v>
      </c>
      <c r="C18" s="2">
        <v>98.212999999999994</v>
      </c>
      <c r="D18" s="2">
        <v>102.102</v>
      </c>
      <c r="E18" s="2">
        <v>82.632000000000005</v>
      </c>
      <c r="F18" s="2"/>
      <c r="G18" s="2"/>
      <c r="H18" s="2"/>
      <c r="I18" s="2"/>
      <c r="J18" s="2"/>
      <c r="K18" s="2"/>
      <c r="L18" s="2"/>
      <c r="M18" s="2"/>
      <c r="N18" s="4">
        <f t="shared" si="0"/>
        <v>391.166</v>
      </c>
      <c r="AU18" s="80" t="str">
        <f t="shared" ref="AU18:AU50" si="1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25.813999999999993</v>
      </c>
      <c r="C19" s="2">
        <v>15.995000000000005</v>
      </c>
      <c r="D19" s="2">
        <v>2.8889999999999958</v>
      </c>
      <c r="E19" s="2">
        <v>8.0939999999999941</v>
      </c>
      <c r="F19" s="2"/>
      <c r="G19" s="2"/>
      <c r="H19" s="2"/>
      <c r="I19" s="2"/>
      <c r="J19" s="2"/>
      <c r="K19" s="2"/>
      <c r="L19" s="2"/>
      <c r="M19" s="2"/>
      <c r="N19" s="4">
        <f t="shared" si="0"/>
        <v>52.791999999999987</v>
      </c>
      <c r="AU19" s="80" t="str">
        <f t="shared" si="1"/>
        <v>Butano</v>
      </c>
      <c r="AV19" s="81">
        <f>HLOOKUP(MAXA(B4:M4),$B$4:$M$49,15,FALSE)</f>
        <v>82.632000000000005</v>
      </c>
      <c r="AW19" s="81"/>
    </row>
    <row r="20" spans="1:49" ht="16.5" customHeight="1" x14ac:dyDescent="0.2">
      <c r="A20" s="9" t="s">
        <v>18</v>
      </c>
      <c r="B20" s="3">
        <v>151.98500000000001</v>
      </c>
      <c r="C20" s="2">
        <v>150.405</v>
      </c>
      <c r="D20" s="2">
        <v>125.714</v>
      </c>
      <c r="E20" s="2">
        <v>152.62799999999999</v>
      </c>
      <c r="F20" s="2"/>
      <c r="G20" s="2"/>
      <c r="H20" s="2"/>
      <c r="I20" s="2"/>
      <c r="J20" s="2"/>
      <c r="K20" s="2"/>
      <c r="L20" s="2"/>
      <c r="M20" s="2"/>
      <c r="N20" s="4">
        <f t="shared" si="0"/>
        <v>580.73199999999997</v>
      </c>
      <c r="AU20" s="80" t="str">
        <f t="shared" si="1"/>
        <v>Propano</v>
      </c>
      <c r="AV20" s="81">
        <f>HLOOKUP(MAXA(B4:M4),$B$4:$M$49,16,FALSE)</f>
        <v>8.0939999999999941</v>
      </c>
      <c r="AW20" s="81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4">
        <f t="shared" si="0"/>
        <v>0</v>
      </c>
      <c r="AU21" s="80" t="str">
        <f t="shared" si="1"/>
        <v>Nafta</v>
      </c>
      <c r="AV21" s="81">
        <f>HLOOKUP(MAXA(B4:M4),$B$4:$M$49,17,FALSE)</f>
        <v>152.62799999999999</v>
      </c>
      <c r="AW21" s="81"/>
    </row>
    <row r="22" spans="1:49" ht="16.5" customHeight="1" x14ac:dyDescent="0.2">
      <c r="A22" s="9" t="s">
        <v>20</v>
      </c>
      <c r="B22" s="3">
        <v>104.45099999999999</v>
      </c>
      <c r="C22" s="2">
        <v>100.797</v>
      </c>
      <c r="D22" s="2">
        <v>107.002</v>
      </c>
      <c r="E22" s="2">
        <v>102.251</v>
      </c>
      <c r="F22" s="2"/>
      <c r="G22" s="2"/>
      <c r="H22" s="2"/>
      <c r="I22" s="2"/>
      <c r="J22" s="2"/>
      <c r="K22" s="2"/>
      <c r="L22" s="2"/>
      <c r="M22" s="2"/>
      <c r="N22" s="4">
        <f t="shared" si="0"/>
        <v>414.50099999999998</v>
      </c>
      <c r="AU22" s="80" t="str">
        <f t="shared" si="1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4.3689999999999998</v>
      </c>
      <c r="C23" s="2">
        <v>10.430999999999999</v>
      </c>
      <c r="D23" s="2">
        <v>6.8049999999999997</v>
      </c>
      <c r="E23" s="2">
        <v>8.7070000000000007</v>
      </c>
      <c r="F23" s="2"/>
      <c r="G23" s="2"/>
      <c r="H23" s="2"/>
      <c r="I23" s="2"/>
      <c r="J23" s="2"/>
      <c r="K23" s="2"/>
      <c r="L23" s="2"/>
      <c r="M23" s="2"/>
      <c r="N23" s="4">
        <f t="shared" si="0"/>
        <v>30.311999999999998</v>
      </c>
      <c r="AU23" s="80" t="str">
        <f t="shared" si="1"/>
        <v>Gasolina 95 I.O.</v>
      </c>
      <c r="AV23" s="81">
        <f>HLOOKUP(MAXA(B4:M4),$B$4:$M$49,19,FALSE)</f>
        <v>102.251</v>
      </c>
      <c r="AW23" s="81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4">
        <f t="shared" si="0"/>
        <v>0</v>
      </c>
      <c r="AU24" s="80" t="str">
        <f t="shared" si="1"/>
        <v>Gasolina 98 I.O.</v>
      </c>
      <c r="AV24" s="81">
        <f>HLOOKUP(MAXA(B4:M4),$B$4:$M$49,20,FALSE)</f>
        <v>8.7070000000000007</v>
      </c>
      <c r="AW24" s="81"/>
    </row>
    <row r="25" spans="1:49" ht="16.5" customHeight="1" x14ac:dyDescent="0.2">
      <c r="A25" s="9" t="s">
        <v>23</v>
      </c>
      <c r="B25" s="3">
        <v>746.77500000000009</v>
      </c>
      <c r="C25" s="2">
        <v>593.98899999999992</v>
      </c>
      <c r="D25" s="2">
        <v>650.19499999999994</v>
      </c>
      <c r="E25" s="2">
        <v>724.36799999999994</v>
      </c>
      <c r="F25" s="2"/>
      <c r="G25" s="2"/>
      <c r="H25" s="2"/>
      <c r="I25" s="2"/>
      <c r="J25" s="2"/>
      <c r="K25" s="2"/>
      <c r="L25" s="2"/>
      <c r="M25" s="2"/>
      <c r="N25" s="4">
        <f t="shared" si="0"/>
        <v>2715.3270000000002</v>
      </c>
      <c r="AU25" s="80" t="str">
        <f t="shared" si="1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4">
        <f t="shared" si="0"/>
        <v>0</v>
      </c>
      <c r="AU26" s="80" t="str">
        <f t="shared" si="1"/>
        <v>Otras Gasolinas</v>
      </c>
      <c r="AV26" s="81">
        <f>HLOOKUP(MAXA(B4:M4),$B$4:$M$49,22,FALSE)</f>
        <v>724.36799999999994</v>
      </c>
      <c r="AW26" s="81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4">
        <f t="shared" si="0"/>
        <v>0</v>
      </c>
      <c r="AU27" s="80" t="str">
        <f t="shared" si="1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51.722999999999999</v>
      </c>
      <c r="C28" s="2">
        <v>47.917000000000002</v>
      </c>
      <c r="D28" s="2">
        <v>45.72</v>
      </c>
      <c r="E28" s="2">
        <v>40.491</v>
      </c>
      <c r="F28" s="2"/>
      <c r="G28" s="2"/>
      <c r="H28" s="2"/>
      <c r="I28" s="2"/>
      <c r="J28" s="2"/>
      <c r="K28" s="2"/>
      <c r="L28" s="2"/>
      <c r="M28" s="2"/>
      <c r="N28" s="4">
        <f t="shared" si="0"/>
        <v>185.851</v>
      </c>
      <c r="AU28" s="80" t="str">
        <f t="shared" si="1"/>
        <v>Gasolinas Mezcla</v>
      </c>
      <c r="AV28" s="81">
        <f>HLOOKUP(MAXA(B4:M4),$B$4:$M$49,24,FALSE)</f>
        <v>0</v>
      </c>
      <c r="AW28" s="81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4">
        <f t="shared" si="0"/>
        <v>0</v>
      </c>
      <c r="AU29" s="80" t="str">
        <f t="shared" si="1"/>
        <v>Queroseno aviac. Jet A1</v>
      </c>
      <c r="AV29" s="81">
        <f>HLOOKUP(MAXA(B4:M4),$B$4:$M$49,25,FALSE)</f>
        <v>40.491</v>
      </c>
      <c r="AW29" s="81"/>
    </row>
    <row r="30" spans="1:49" ht="21.75" customHeight="1" x14ac:dyDescent="0.2">
      <c r="A30" s="9" t="s">
        <v>28</v>
      </c>
      <c r="B30" s="3">
        <v>895.24099999999999</v>
      </c>
      <c r="C30" s="2">
        <v>847.84</v>
      </c>
      <c r="D30" s="2">
        <v>801.21</v>
      </c>
      <c r="E30" s="2">
        <v>767.08299999999997</v>
      </c>
      <c r="F30" s="2"/>
      <c r="G30" s="2"/>
      <c r="H30" s="2"/>
      <c r="I30" s="2"/>
      <c r="J30" s="2"/>
      <c r="K30" s="2"/>
      <c r="L30" s="2"/>
      <c r="M30" s="2"/>
      <c r="N30" s="4">
        <f t="shared" si="0"/>
        <v>3311.3740000000003</v>
      </c>
      <c r="AU30" s="80" t="str">
        <f t="shared" si="1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4">
        <f t="shared" si="0"/>
        <v>0</v>
      </c>
      <c r="AU31" s="80" t="str">
        <f t="shared" si="1"/>
        <v>Otros Querosenos</v>
      </c>
      <c r="AV31" s="81">
        <f>HLOOKUP(MAXA(B4:M4),$B$4:$M$49,27,FALSE)</f>
        <v>767.08299999999997</v>
      </c>
      <c r="AW31" s="81"/>
    </row>
    <row r="32" spans="1:49" ht="16.5" customHeight="1" x14ac:dyDescent="0.2">
      <c r="A32" s="9" t="s">
        <v>30</v>
      </c>
      <c r="B32" s="3">
        <v>254.19</v>
      </c>
      <c r="C32" s="2">
        <v>218.411</v>
      </c>
      <c r="D32" s="2">
        <v>292.517</v>
      </c>
      <c r="E32" s="2">
        <v>271.846</v>
      </c>
      <c r="F32" s="2"/>
      <c r="G32" s="2"/>
      <c r="H32" s="2"/>
      <c r="I32" s="2"/>
      <c r="J32" s="2"/>
      <c r="K32" s="2"/>
      <c r="L32" s="2"/>
      <c r="M32" s="2"/>
      <c r="N32" s="4">
        <f t="shared" si="0"/>
        <v>1036.9639999999999</v>
      </c>
      <c r="AU32" s="80" t="str">
        <f t="shared" si="1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35.982999999999997</v>
      </c>
      <c r="C33" s="2">
        <v>46.74</v>
      </c>
      <c r="D33" s="2">
        <v>23.43</v>
      </c>
      <c r="E33" s="2">
        <v>27.341000000000001</v>
      </c>
      <c r="F33" s="2"/>
      <c r="G33" s="2"/>
      <c r="H33" s="2"/>
      <c r="I33" s="2"/>
      <c r="J33" s="2"/>
      <c r="K33" s="2"/>
      <c r="L33" s="2"/>
      <c r="M33" s="2"/>
      <c r="N33" s="4">
        <f t="shared" si="0"/>
        <v>133.494</v>
      </c>
      <c r="AU33" s="80" t="str">
        <f t="shared" si="1"/>
        <v>Gasóleo A 10 PPM</v>
      </c>
      <c r="AV33" s="81">
        <f>HLOOKUP(MAXA(B4:M4),$B$4:$M$49,29,FALSE)</f>
        <v>271.846</v>
      </c>
      <c r="AW33" s="81"/>
    </row>
    <row r="34" spans="1:49" ht="16.5" customHeight="1" x14ac:dyDescent="0.2">
      <c r="A34" s="9" t="s">
        <v>32</v>
      </c>
      <c r="B34" s="3">
        <v>13.041</v>
      </c>
      <c r="C34" s="2">
        <v>19.974</v>
      </c>
      <c r="D34" s="2">
        <v>7.0830000000000002</v>
      </c>
      <c r="E34" s="2">
        <v>6.8419999999999996</v>
      </c>
      <c r="F34" s="2"/>
      <c r="G34" s="2"/>
      <c r="H34" s="2"/>
      <c r="I34" s="2"/>
      <c r="J34" s="2"/>
      <c r="K34" s="2"/>
      <c r="L34" s="2"/>
      <c r="M34" s="2"/>
      <c r="N34" s="4">
        <f t="shared" si="0"/>
        <v>46.94</v>
      </c>
      <c r="AU34" s="80" t="str">
        <f t="shared" si="1"/>
        <v>Gasóleo B</v>
      </c>
      <c r="AV34" s="81">
        <f>HLOOKUP(MAXA(B4:M4),$B$4:$M$49,30,FALSE)</f>
        <v>27.341000000000001</v>
      </c>
      <c r="AW34" s="81"/>
    </row>
    <row r="35" spans="1:49" ht="16.5" customHeight="1" x14ac:dyDescent="0.2">
      <c r="A35" s="9" t="s">
        <v>33</v>
      </c>
      <c r="B35" s="3">
        <v>63.41</v>
      </c>
      <c r="C35" s="2">
        <v>61.116</v>
      </c>
      <c r="D35" s="2">
        <v>61.688000000000002</v>
      </c>
      <c r="E35" s="2">
        <v>54.295999999999999</v>
      </c>
      <c r="F35" s="2"/>
      <c r="G35" s="2"/>
      <c r="H35" s="2"/>
      <c r="I35" s="2"/>
      <c r="J35" s="2"/>
      <c r="K35" s="2"/>
      <c r="L35" s="2"/>
      <c r="M35" s="2"/>
      <c r="N35" s="4">
        <f t="shared" si="0"/>
        <v>240.51</v>
      </c>
      <c r="AU35" s="80" t="str">
        <f t="shared" si="1"/>
        <v>Gasóleo C</v>
      </c>
      <c r="AV35" s="81">
        <f>HLOOKUP(MAXA(B4:M4),$B$4:$M$49,31,FALSE)</f>
        <v>6.8419999999999996</v>
      </c>
      <c r="AW35" s="81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4">
        <f t="shared" si="0"/>
        <v>0</v>
      </c>
      <c r="AU36" s="80" t="str">
        <f t="shared" si="1"/>
        <v>Gasóleo para uso marítimo</v>
      </c>
      <c r="AV36" s="81">
        <f>HLOOKUP(MAXA(B4:M4),$B$4:$M$49,32,FALSE)</f>
        <v>54.295999999999999</v>
      </c>
      <c r="AW36" s="81"/>
    </row>
    <row r="37" spans="1:49" ht="16.5" customHeight="1" x14ac:dyDescent="0.2">
      <c r="A37" s="9" t="s">
        <v>35</v>
      </c>
      <c r="B37" s="3">
        <v>1932.47</v>
      </c>
      <c r="C37" s="2">
        <v>1785.873</v>
      </c>
      <c r="D37" s="2">
        <v>1766.7179999999998</v>
      </c>
      <c r="E37" s="2">
        <v>1751.6610000000001</v>
      </c>
      <c r="F37" s="2"/>
      <c r="G37" s="2"/>
      <c r="H37" s="2"/>
      <c r="I37" s="2"/>
      <c r="J37" s="2"/>
      <c r="K37" s="2"/>
      <c r="L37" s="2"/>
      <c r="M37" s="2"/>
      <c r="N37" s="4">
        <f t="shared" si="0"/>
        <v>7236.7219999999998</v>
      </c>
      <c r="AU37" s="80" t="str">
        <f t="shared" si="1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0</v>
      </c>
      <c r="C38" s="2">
        <v>7.27</v>
      </c>
      <c r="D38" s="2">
        <v>18.771000000000001</v>
      </c>
      <c r="E38" s="2">
        <v>22.597000000000001</v>
      </c>
      <c r="F38" s="2"/>
      <c r="G38" s="2"/>
      <c r="H38" s="2"/>
      <c r="I38" s="2"/>
      <c r="J38" s="2"/>
      <c r="K38" s="2"/>
      <c r="L38" s="2"/>
      <c r="M38" s="2"/>
      <c r="N38" s="4">
        <f t="shared" si="0"/>
        <v>48.638000000000005</v>
      </c>
      <c r="AU38" s="80" t="str">
        <f t="shared" si="1"/>
        <v>Otros Gasóleos</v>
      </c>
      <c r="AV38" s="81">
        <f>HLOOKUP(MAXA(B4:M4),$B$4:$M$49,34,FALSE)</f>
        <v>1751.6610000000001</v>
      </c>
      <c r="AW38" s="81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17.826000000000001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4">
        <f t="shared" si="0"/>
        <v>17.826000000000001</v>
      </c>
      <c r="AU39" s="80" t="str">
        <f t="shared" si="1"/>
        <v>Biodiesel</v>
      </c>
      <c r="AV39" s="81">
        <f>HLOOKUP(MAXA(B4:M4),$B$4:$M$49,35,FALSE)</f>
        <v>22.597000000000001</v>
      </c>
      <c r="AW39" s="81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4">
        <f t="shared" si="0"/>
        <v>0</v>
      </c>
      <c r="AU40" s="80" t="str">
        <f t="shared" si="1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0</v>
      </c>
      <c r="C41" s="2">
        <v>0</v>
      </c>
      <c r="D41" s="2">
        <v>3.6320000000000001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4">
        <f t="shared" si="0"/>
        <v>3.6320000000000001</v>
      </c>
      <c r="AU41" s="80" t="str">
        <f t="shared" si="1"/>
        <v>Fuelóleo BIA</v>
      </c>
      <c r="AV41" s="81">
        <f>HLOOKUP(MAXA(B4:M4),$B$4:$M$49,37,FALSE)</f>
        <v>0</v>
      </c>
      <c r="AW41" s="81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0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4">
        <f t="shared" si="0"/>
        <v>0</v>
      </c>
      <c r="AU42" s="80" t="str">
        <f t="shared" si="1"/>
        <v>Fuelóleo de refineria</v>
      </c>
      <c r="AV42" s="81">
        <f>HLOOKUP(MAXA(B4:M4),$B$4:$M$49,38,FALSE)</f>
        <v>0</v>
      </c>
      <c r="AW42" s="81"/>
    </row>
    <row r="43" spans="1:49" ht="16.5" customHeight="1" x14ac:dyDescent="0.2">
      <c r="A43" s="9" t="s">
        <v>40</v>
      </c>
      <c r="B43" s="3">
        <v>450.274</v>
      </c>
      <c r="C43" s="2">
        <v>328.14400000000001</v>
      </c>
      <c r="D43" s="2">
        <v>407.99200000000002</v>
      </c>
      <c r="E43" s="2">
        <v>432.93200000000002</v>
      </c>
      <c r="F43" s="2"/>
      <c r="G43" s="2"/>
      <c r="H43" s="2"/>
      <c r="I43" s="2"/>
      <c r="J43" s="2"/>
      <c r="K43" s="2"/>
      <c r="L43" s="2"/>
      <c r="M43" s="2"/>
      <c r="N43" s="4">
        <f t="shared" si="0"/>
        <v>1619.3420000000001</v>
      </c>
      <c r="AU43" s="80" t="str">
        <f t="shared" si="1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26.797000000000001</v>
      </c>
      <c r="C44" s="2">
        <v>22.974</v>
      </c>
      <c r="D44" s="2">
        <v>24.135999999999999</v>
      </c>
      <c r="E44" s="2">
        <v>24.268999999999998</v>
      </c>
      <c r="F44" s="2"/>
      <c r="G44" s="2"/>
      <c r="H44" s="2"/>
      <c r="I44" s="2"/>
      <c r="J44" s="2"/>
      <c r="K44" s="2"/>
      <c r="L44" s="2"/>
      <c r="M44" s="2"/>
      <c r="N44" s="4">
        <f t="shared" si="0"/>
        <v>98.175999999999988</v>
      </c>
      <c r="AU44" s="80" t="str">
        <f t="shared" si="1"/>
        <v>Otros Fuelóleos</v>
      </c>
      <c r="AV44" s="81">
        <f>HLOOKUP(MAXA(B4:M4),$B$4:$M$49,40,FALSE)</f>
        <v>432.93200000000002</v>
      </c>
      <c r="AW44" s="81"/>
    </row>
    <row r="45" spans="1:49" ht="16.5" customHeight="1" x14ac:dyDescent="0.2">
      <c r="A45" s="9" t="s">
        <v>42</v>
      </c>
      <c r="B45" s="3">
        <v>120.872</v>
      </c>
      <c r="C45" s="2">
        <v>138.21100000000001</v>
      </c>
      <c r="D45" s="2">
        <v>163.62700000000001</v>
      </c>
      <c r="E45" s="2">
        <v>177.46</v>
      </c>
      <c r="F45" s="2"/>
      <c r="G45" s="2"/>
      <c r="H45" s="2"/>
      <c r="I45" s="2"/>
      <c r="J45" s="2"/>
      <c r="K45" s="2"/>
      <c r="L45" s="2"/>
      <c r="M45" s="2"/>
      <c r="N45" s="4">
        <f t="shared" si="0"/>
        <v>600.17000000000007</v>
      </c>
      <c r="AU45" s="80" t="str">
        <f t="shared" si="1"/>
        <v>Aceites y bases lubricantes</v>
      </c>
      <c r="AV45" s="81">
        <f>HLOOKUP(MAXA(B4:M4),$B$4:$M$49,41,FALSE)</f>
        <v>24.268999999999998</v>
      </c>
      <c r="AW45" s="81"/>
    </row>
    <row r="46" spans="1:49" ht="16.5" customHeight="1" x14ac:dyDescent="0.2">
      <c r="A46" s="9" t="s">
        <v>43</v>
      </c>
      <c r="B46" s="3">
        <v>8.6430000000000007</v>
      </c>
      <c r="C46" s="2">
        <v>12.215999999999999</v>
      </c>
      <c r="D46" s="2">
        <v>12.93</v>
      </c>
      <c r="E46" s="2">
        <v>10.641999999999999</v>
      </c>
      <c r="F46" s="2"/>
      <c r="G46" s="2"/>
      <c r="H46" s="2"/>
      <c r="I46" s="2"/>
      <c r="J46" s="2"/>
      <c r="K46" s="2"/>
      <c r="L46" s="2"/>
      <c r="M46" s="2"/>
      <c r="N46" s="4">
        <f t="shared" si="0"/>
        <v>44.430999999999997</v>
      </c>
      <c r="AU46" s="80" t="str">
        <f t="shared" si="1"/>
        <v>Productos asfálticos</v>
      </c>
      <c r="AV46" s="81">
        <f>HLOOKUP(MAXA(B4:M4),$B$4:$M$49,42,FALSE)</f>
        <v>177.46</v>
      </c>
      <c r="AW46" s="81"/>
    </row>
    <row r="47" spans="1:49" ht="16.5" customHeight="1" x14ac:dyDescent="0.2">
      <c r="A47" s="9" t="s">
        <v>44</v>
      </c>
      <c r="B47" s="3">
        <v>6.7759999999999998</v>
      </c>
      <c r="C47" s="2">
        <v>6.7039999999999997</v>
      </c>
      <c r="D47" s="2">
        <v>6.0789999999999997</v>
      </c>
      <c r="E47" s="2">
        <v>6.58</v>
      </c>
      <c r="F47" s="2"/>
      <c r="G47" s="2"/>
      <c r="H47" s="2"/>
      <c r="I47" s="2"/>
      <c r="J47" s="2"/>
      <c r="K47" s="2"/>
      <c r="L47" s="2"/>
      <c r="M47" s="2"/>
      <c r="N47" s="4">
        <f t="shared" si="0"/>
        <v>26.139000000000003</v>
      </c>
      <c r="AU47" s="80" t="str">
        <f t="shared" si="1"/>
        <v>Disolventes</v>
      </c>
      <c r="AV47" s="81">
        <f>HLOOKUP(MAXA(B4:M4),$B$4:$M$49,43,FALSE)</f>
        <v>10.641999999999999</v>
      </c>
      <c r="AW47" s="81"/>
    </row>
    <row r="48" spans="1:49" ht="16.5" customHeight="1" x14ac:dyDescent="0.2">
      <c r="A48" s="9" t="s">
        <v>45</v>
      </c>
      <c r="B48" s="3">
        <v>276.36099999999999</v>
      </c>
      <c r="C48" s="2">
        <v>333.20699999999999</v>
      </c>
      <c r="D48" s="2">
        <v>286.33100000000002</v>
      </c>
      <c r="E48" s="2">
        <v>247.52699999999999</v>
      </c>
      <c r="F48" s="2"/>
      <c r="G48" s="2"/>
      <c r="H48" s="2"/>
      <c r="I48" s="2"/>
      <c r="J48" s="2"/>
      <c r="K48" s="2"/>
      <c r="L48" s="2"/>
      <c r="M48" s="2"/>
      <c r="N48" s="4">
        <f t="shared" si="0"/>
        <v>1143.4259999999999</v>
      </c>
      <c r="AU48" s="80" t="str">
        <f t="shared" si="1"/>
        <v>Parafinas</v>
      </c>
      <c r="AV48" s="81">
        <f>HLOOKUP(MAXA(B4:M4),$B$4:$M$49,44,FALSE)</f>
        <v>6.58</v>
      </c>
      <c r="AW48" s="81"/>
    </row>
    <row r="49" spans="1:49" ht="18" customHeight="1" x14ac:dyDescent="0.2">
      <c r="A49" s="10" t="s">
        <v>52</v>
      </c>
      <c r="B49" s="7">
        <v>178.72899999999998</v>
      </c>
      <c r="C49" s="5">
        <v>231.23899999999867</v>
      </c>
      <c r="D49" s="5">
        <v>123.14199999999997</v>
      </c>
      <c r="E49" s="5">
        <v>178.24900000000071</v>
      </c>
      <c r="F49" s="5"/>
      <c r="G49" s="5"/>
      <c r="H49" s="5"/>
      <c r="I49" s="5"/>
      <c r="J49" s="5"/>
      <c r="K49" s="5"/>
      <c r="L49" s="5"/>
      <c r="M49" s="5"/>
      <c r="N49" s="6">
        <f t="shared" si="0"/>
        <v>711.35899999999936</v>
      </c>
      <c r="AU49" s="80" t="str">
        <f t="shared" si="1"/>
        <v>Coque de petróleo</v>
      </c>
      <c r="AV49" s="81">
        <f>HLOOKUP(MAXA(B4:M4),$B$4:$M$49,45,FALSE)</f>
        <v>247.52699999999999</v>
      </c>
      <c r="AW49" s="81"/>
    </row>
    <row r="50" spans="1:49" x14ac:dyDescent="0.2">
      <c r="F50" s="41"/>
      <c r="AU50" s="80" t="str">
        <f t="shared" si="1"/>
        <v>Otros Productos</v>
      </c>
      <c r="AV50" s="81">
        <f>HLOOKUP(MAXA(B4:M4),$B$4:$M$49,46,FALSE)</f>
        <v>178.24900000000071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2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46"/>
  <sheetViews>
    <sheetView topLeftCell="A108" zoomScale="70" zoomScaleNormal="70" workbookViewId="0">
      <selection activeCell="AW20" sqref="AW20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44" width="11" style="59"/>
    <col min="45" max="45" width="9.375" style="59" customWidth="1"/>
    <col min="46" max="47" width="11" style="59"/>
    <col min="48" max="48" width="11" style="90"/>
    <col min="49" max="16384" width="11" style="59"/>
  </cols>
  <sheetData>
    <row r="1" spans="1:15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  <c r="M1" s="58">
        <v>2023</v>
      </c>
    </row>
    <row r="2" spans="1:15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4">
        <v>0.67200000000000004</v>
      </c>
      <c r="O2" s="69"/>
    </row>
    <row r="3" spans="1:15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4">
        <v>61558.654000000002</v>
      </c>
      <c r="O3" s="69"/>
    </row>
    <row r="4" spans="1:15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4">
        <v>-346.42199999999957</v>
      </c>
      <c r="O4" s="69"/>
    </row>
    <row r="5" spans="1:15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4">
        <v>-326.49300000000005</v>
      </c>
      <c r="O5" s="69"/>
    </row>
    <row r="6" spans="1:15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4">
        <v>-25.735999999999933</v>
      </c>
      <c r="O6" s="69"/>
    </row>
    <row r="7" spans="1:15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4">
        <v>899.87900000000002</v>
      </c>
      <c r="O7" s="69"/>
    </row>
    <row r="8" spans="1:15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4">
        <v>0</v>
      </c>
      <c r="O8" s="69"/>
    </row>
    <row r="9" spans="1:15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4">
        <v>62465.011999999995</v>
      </c>
      <c r="O9" s="69"/>
    </row>
    <row r="10" spans="1:15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4">
        <v>61885.819000000003</v>
      </c>
      <c r="O10" s="69"/>
    </row>
    <row r="11" spans="1:15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64">
        <v>991.699999999998</v>
      </c>
      <c r="O11" s="70"/>
    </row>
    <row r="12" spans="1:15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4">
        <v>61473.311999999991</v>
      </c>
      <c r="O12" s="69"/>
    </row>
    <row r="13" spans="1:15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4">
        <v>2094.491</v>
      </c>
      <c r="O13" s="69"/>
    </row>
    <row r="14" spans="1:15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4">
        <v>0</v>
      </c>
      <c r="O14" s="69"/>
    </row>
    <row r="15" spans="1:15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4">
        <v>1055.7279999999998</v>
      </c>
      <c r="O15" s="69"/>
    </row>
    <row r="16" spans="1:15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4">
        <v>138.84900000000005</v>
      </c>
      <c r="O16" s="69"/>
    </row>
    <row r="17" spans="1:15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4">
        <v>1641.7580000000003</v>
      </c>
      <c r="O17" s="69"/>
    </row>
    <row r="18" spans="1:15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4">
        <v>0</v>
      </c>
      <c r="O18" s="69"/>
    </row>
    <row r="19" spans="1:15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4">
        <v>945.81700000000001</v>
      </c>
      <c r="O19" s="69"/>
    </row>
    <row r="20" spans="1:15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4">
        <v>97.459000000000003</v>
      </c>
      <c r="O20" s="69"/>
    </row>
    <row r="21" spans="1:15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4">
        <v>0</v>
      </c>
      <c r="O21" s="69"/>
    </row>
    <row r="22" spans="1:15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4">
        <v>8649.3249999999989</v>
      </c>
      <c r="O22" s="69"/>
    </row>
    <row r="23" spans="1:15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4">
        <v>0</v>
      </c>
      <c r="O23" s="69"/>
    </row>
    <row r="24" spans="1:15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O24" s="69"/>
    </row>
    <row r="25" spans="1:15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4">
        <v>398.375</v>
      </c>
      <c r="O25" s="69"/>
    </row>
    <row r="26" spans="1:15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4">
        <v>0</v>
      </c>
      <c r="O26" s="69"/>
    </row>
    <row r="27" spans="1:15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4">
        <v>9387.0400000000009</v>
      </c>
      <c r="O27" s="69"/>
    </row>
    <row r="28" spans="1:15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4">
        <v>0</v>
      </c>
      <c r="O28" s="69"/>
    </row>
    <row r="29" spans="1:15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64">
        <v>2479.116</v>
      </c>
      <c r="O29" s="70"/>
    </row>
    <row r="30" spans="1:15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4">
        <v>270.95500000000004</v>
      </c>
      <c r="O30" s="69"/>
    </row>
    <row r="31" spans="1:15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4">
        <v>92.393000000000001</v>
      </c>
      <c r="O31" s="69"/>
    </row>
    <row r="32" spans="1:15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4">
        <v>664.36899999999991</v>
      </c>
      <c r="O32" s="69"/>
    </row>
    <row r="33" spans="1:15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4">
        <v>0</v>
      </c>
      <c r="O33" s="69"/>
    </row>
    <row r="34" spans="1:15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64">
        <v>22082.314000000002</v>
      </c>
      <c r="O34" s="70"/>
    </row>
    <row r="35" spans="1:15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64">
        <v>142.107</v>
      </c>
      <c r="O35" s="70"/>
    </row>
    <row r="36" spans="1:15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4">
        <v>0</v>
      </c>
      <c r="O36" s="69"/>
    </row>
    <row r="37" spans="1:15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4">
        <v>1E-3</v>
      </c>
      <c r="O37" s="69"/>
    </row>
    <row r="38" spans="1:15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4">
        <v>5.0659999999999998</v>
      </c>
      <c r="O38" s="69"/>
    </row>
    <row r="39" spans="1:15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4">
        <v>3.0000000000000001E-3</v>
      </c>
      <c r="O39" s="69"/>
    </row>
    <row r="40" spans="1:15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64">
        <v>3941.1609999999996</v>
      </c>
      <c r="O40" s="70"/>
    </row>
    <row r="41" spans="1:15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4">
        <v>310.36</v>
      </c>
      <c r="O41" s="69"/>
    </row>
    <row r="42" spans="1:15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4">
        <v>1822.5049999999999</v>
      </c>
      <c r="O42" s="69"/>
    </row>
    <row r="43" spans="1:15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4">
        <v>122.27900000000001</v>
      </c>
      <c r="O43" s="69"/>
    </row>
    <row r="44" spans="1:15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4">
        <v>68.566999999999993</v>
      </c>
      <c r="O44" s="69"/>
    </row>
    <row r="45" spans="1:15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4">
        <v>3457.4449999999997</v>
      </c>
      <c r="O45" s="69"/>
    </row>
    <row r="46" spans="1:15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64">
        <v>1605.8290000000018</v>
      </c>
      <c r="O46" s="70"/>
    </row>
  </sheetData>
  <pageMargins left="0.70000000000000007" right="0.70000000000000007" top="0.75" bottom="0.75" header="0.30000000000000004" footer="0.30000000000000004"/>
  <pageSetup paperSize="9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topLeftCell="A15" zoomScale="85" zoomScaleNormal="85" workbookViewId="0">
      <selection activeCell="I3" sqref="I3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"&amp;'2024'!$AV$3</f>
        <v>MOVIMIENTO DE CRUDOS Y OBTENCIÓN DE PRODUCTOS PETROLÍFEROS - ABRIL 2024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  <vt:lpstr>Carátula!Área_de_impresión</vt:lpstr>
      <vt:lpstr>Evolución_Anual!Área_de_impresión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2024-06-19T12:40:11Z</dcterms:modified>
</cp:coreProperties>
</file>