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8DC0A776-7E90-4768-8795-9C871692B084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0">Carátula!$A$1:$H$41</definedName>
    <definedName name="_xlnm.Print_Area" localSheetId="14">Evolución_Anual!$A$1:$M$46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9" l="1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AV3" i="19"/>
  <c r="AV6" i="19"/>
  <c r="AV50" i="19"/>
  <c r="AU50" i="19"/>
  <c r="AV49" i="19"/>
  <c r="AU49" i="19"/>
  <c r="N49" i="19"/>
  <c r="AV48" i="19"/>
  <c r="AU48" i="19"/>
  <c r="N48" i="19"/>
  <c r="AV47" i="19"/>
  <c r="AU47" i="19"/>
  <c r="N47" i="19"/>
  <c r="AV46" i="19"/>
  <c r="AU46" i="19"/>
  <c r="N46" i="19"/>
  <c r="AV45" i="19"/>
  <c r="AU45" i="19"/>
  <c r="N45" i="19"/>
  <c r="AV44" i="19"/>
  <c r="AU44" i="19"/>
  <c r="N44" i="19"/>
  <c r="AV43" i="19"/>
  <c r="AU43" i="19"/>
  <c r="N43" i="19"/>
  <c r="AV42" i="19"/>
  <c r="AU42" i="19"/>
  <c r="N42" i="19"/>
  <c r="AV41" i="19"/>
  <c r="AU41" i="19"/>
  <c r="N41" i="19"/>
  <c r="AV40" i="19"/>
  <c r="AU40" i="19"/>
  <c r="N40" i="19"/>
  <c r="AV39" i="19"/>
  <c r="AU39" i="19"/>
  <c r="N39" i="19"/>
  <c r="AV38" i="19"/>
  <c r="AU38" i="19"/>
  <c r="N38" i="19"/>
  <c r="AV37" i="19"/>
  <c r="AU37" i="19"/>
  <c r="N37" i="19"/>
  <c r="AV36" i="19"/>
  <c r="AU36" i="19"/>
  <c r="N36" i="19"/>
  <c r="AV35" i="19"/>
  <c r="AU35" i="19"/>
  <c r="N35" i="19"/>
  <c r="AV34" i="19"/>
  <c r="AU34" i="19"/>
  <c r="N34" i="19"/>
  <c r="AV33" i="19"/>
  <c r="AU33" i="19"/>
  <c r="N33" i="19"/>
  <c r="AV32" i="19"/>
  <c r="AU32" i="19"/>
  <c r="N32" i="19"/>
  <c r="AV31" i="19"/>
  <c r="AU31" i="19"/>
  <c r="N31" i="19"/>
  <c r="AV30" i="19"/>
  <c r="AU30" i="19"/>
  <c r="N30" i="19"/>
  <c r="AV29" i="19"/>
  <c r="AU29" i="19"/>
  <c r="N29" i="19"/>
  <c r="AV28" i="19"/>
  <c r="AU28" i="19"/>
  <c r="N28" i="19"/>
  <c r="AV27" i="19"/>
  <c r="AU27" i="19"/>
  <c r="N27" i="19"/>
  <c r="AV26" i="19"/>
  <c r="AU26" i="19"/>
  <c r="N26" i="19"/>
  <c r="AV25" i="19"/>
  <c r="AU25" i="19"/>
  <c r="N25" i="19"/>
  <c r="AV24" i="19"/>
  <c r="AU24" i="19"/>
  <c r="N24" i="19"/>
  <c r="AV23" i="19"/>
  <c r="AU23" i="19"/>
  <c r="N23" i="19"/>
  <c r="AV22" i="19"/>
  <c r="AU22" i="19"/>
  <c r="N22" i="19"/>
  <c r="AV21" i="19"/>
  <c r="AU21" i="19"/>
  <c r="N21" i="19"/>
  <c r="AV20" i="19"/>
  <c r="AU20" i="19"/>
  <c r="N20" i="19"/>
  <c r="AV19" i="19"/>
  <c r="AU19" i="19"/>
  <c r="N19" i="19"/>
  <c r="AV18" i="19"/>
  <c r="AU18" i="19"/>
  <c r="N18" i="19"/>
  <c r="AV17" i="19"/>
  <c r="AU17" i="19"/>
  <c r="N17" i="19"/>
  <c r="N16" i="19"/>
  <c r="AV15" i="19"/>
  <c r="AU15" i="19"/>
  <c r="N15" i="19"/>
  <c r="AV14" i="19"/>
  <c r="AU14" i="19"/>
  <c r="N14" i="19"/>
  <c r="AV13" i="19"/>
  <c r="AU13" i="19"/>
  <c r="N13" i="19"/>
  <c r="AV12" i="19"/>
  <c r="AU12" i="19"/>
  <c r="N12" i="19"/>
  <c r="AV11" i="19"/>
  <c r="AU11" i="19"/>
  <c r="N11" i="19"/>
  <c r="N10" i="19"/>
  <c r="N9" i="19"/>
  <c r="AV8" i="19"/>
  <c r="AU8" i="19"/>
  <c r="N8" i="19"/>
  <c r="AV7" i="19"/>
  <c r="AU7" i="19"/>
  <c r="N7" i="19"/>
  <c r="AU6" i="19"/>
  <c r="N6" i="19"/>
  <c r="Q1" i="19" l="1"/>
  <c r="B16" i="15"/>
  <c r="B15" i="12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<sst xmlns="http://schemas.openxmlformats.org/spreadsheetml/2006/main" count="673" uniqueCount="64">
  <si>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</si>
  <si>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</si>
  <si>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</si>
  <si>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</si>
  <si>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</si>
  <si>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</si>
  <si>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</si>
  <si>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</si>
  <si>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</si>
  <si>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</si>
  <si>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</si>
  <si>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</si>
  <si>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</si>
  <si>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</si>
  <si>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</si>
  <si>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</si>
  <si>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</si>
  <si>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</si>
  <si>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</si>
  <si>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</si>
  <si>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</si>
  <si>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</si>
  <si>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</si>
  <si>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</si>
  <si>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</si>
  <si>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</si>
  <si>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</si>
  <si>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</si>
  <si>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</si>
  <si>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</si>
  <si>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</si>
  <si>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</si>
  <si>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</si>
  <si>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</si>
  <si>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</si>
  <si>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</si>
  <si>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</si>
  <si>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</si>
  <si>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</si>
  <si>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</si>
  <si>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</si>
  <si>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</si>
  <si>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</si>
  <si>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</si>
  <si>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</si>
  <si>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</si>
  <si>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</si>
  <si>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</si>
  <si>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</si>
  <si>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</si>
  <si>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</si>
  <si>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</si>
  <si>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</si>
  <si>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</si>
  <si>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</si>
  <si>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</si>
  <si>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</si>
  <si>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</si>
  <si>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</si>
  <si>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</si>
  <si>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</si>
  <si>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</si>
  <si>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</si>
  <si>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Información provisional elaborada a partir de la información disponible a fecha 15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</si>
</sst>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4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  <c:pt idx="4">
                  <c:v>6.9000000000000006E-2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  <c:pt idx="4">
                  <c:v>1.3049999999999999</c:v>
                </c:pt>
                <c:pt idx="5">
                  <c:v>0.7</c:v>
                </c:pt>
                <c:pt idx="6">
                  <c:v>0.152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  <c:pt idx="4">
                  <c:v>451.53199999999998</c:v>
                </c:pt>
                <c:pt idx="5">
                  <c:v>425.28399999999999</c:v>
                </c:pt>
                <c:pt idx="6">
                  <c:v>416.22699999999998</c:v>
                </c:pt>
                <c:pt idx="7">
                  <c:v>384.89699999999999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  <c:pt idx="4">
                  <c:v>21.446000000000002</c:v>
                </c:pt>
                <c:pt idx="5">
                  <c:v>19.661000000000001</c:v>
                </c:pt>
                <c:pt idx="6">
                  <c:v>29.905000000000001</c:v>
                </c:pt>
                <c:pt idx="7">
                  <c:v>26.986000000000001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  <c:pt idx="4">
                  <c:v>137.023</c:v>
                </c:pt>
                <c:pt idx="5">
                  <c:v>156.24799999999999</c:v>
                </c:pt>
                <c:pt idx="6">
                  <c:v>175.59800000000001</c:v>
                </c:pt>
                <c:pt idx="7">
                  <c:v>174.352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  <c:pt idx="4">
                  <c:v>10.715</c:v>
                </c:pt>
                <c:pt idx="5">
                  <c:v>10.055999999999999</c:v>
                </c:pt>
                <c:pt idx="6">
                  <c:v>11.307</c:v>
                </c:pt>
                <c:pt idx="7">
                  <c:v>9.4489999999999998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  <c:pt idx="4">
                  <c:v>6.9459999999999997</c:v>
                </c:pt>
                <c:pt idx="5">
                  <c:v>6.45</c:v>
                </c:pt>
                <c:pt idx="6">
                  <c:v>6.3410000000000002</c:v>
                </c:pt>
                <c:pt idx="7">
                  <c:v>5.8310000000000004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178.72899999999998</c:v>
                </c:pt>
                <c:pt idx="1">
                  <c:v>231.23899999999867</c:v>
                </c:pt>
                <c:pt idx="2">
                  <c:v>123.14199999999997</c:v>
                </c:pt>
                <c:pt idx="3">
                  <c:v>178.24900000000071</c:v>
                </c:pt>
                <c:pt idx="4">
                  <c:v>212.06499999999869</c:v>
                </c:pt>
                <c:pt idx="5">
                  <c:v>161.26200000000154</c:v>
                </c:pt>
                <c:pt idx="6">
                  <c:v>212.27100000000002</c:v>
                </c:pt>
                <c:pt idx="7">
                  <c:v>255.05999999999949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  <c:pt idx="4">
                  <c:v>280.86399999999998</c:v>
                </c:pt>
                <c:pt idx="5">
                  <c:v>274.50299999999999</c:v>
                </c:pt>
                <c:pt idx="6">
                  <c:v>303.47500000000002</c:v>
                </c:pt>
                <c:pt idx="7">
                  <c:v>301.76100000000002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AGOSTO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5766.5609999999997</c:v>
                </c:pt>
                <c:pt idx="1">
                  <c:v>5572.2529999999997</c:v>
                </c:pt>
                <c:pt idx="2">
                  <c:v>5496.3909999999996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AGOSTO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93.73700000000008</c:v>
                </c:pt>
                <c:pt idx="1">
                  <c:v>276.88</c:v>
                </c:pt>
                <c:pt idx="2">
                  <c:v>31.04000000000002</c:v>
                </c:pt>
                <c:pt idx="3">
                  <c:v>19.875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AGOSTO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182.61799999999999</c:v>
                </c:pt>
                <c:pt idx="1">
                  <c:v>0</c:v>
                </c:pt>
                <c:pt idx="2">
                  <c:v>83.454999999999998</c:v>
                </c:pt>
                <c:pt idx="3">
                  <c:v>0.9620000000000033</c:v>
                </c:pt>
                <c:pt idx="4">
                  <c:v>164.34399999999999</c:v>
                </c:pt>
                <c:pt idx="5">
                  <c:v>0</c:v>
                </c:pt>
                <c:pt idx="6">
                  <c:v>65.63</c:v>
                </c:pt>
                <c:pt idx="7">
                  <c:v>4.6150000000000002</c:v>
                </c:pt>
                <c:pt idx="8">
                  <c:v>0</c:v>
                </c:pt>
                <c:pt idx="9">
                  <c:v>803.70100000000002</c:v>
                </c:pt>
                <c:pt idx="10">
                  <c:v>0</c:v>
                </c:pt>
                <c:pt idx="11">
                  <c:v>0</c:v>
                </c:pt>
                <c:pt idx="12">
                  <c:v>34.292000000000002</c:v>
                </c:pt>
                <c:pt idx="13">
                  <c:v>0</c:v>
                </c:pt>
                <c:pt idx="14">
                  <c:v>851.59699999999998</c:v>
                </c:pt>
                <c:pt idx="15">
                  <c:v>0</c:v>
                </c:pt>
                <c:pt idx="16">
                  <c:v>263.01499999999999</c:v>
                </c:pt>
                <c:pt idx="17">
                  <c:v>19.952000000000002</c:v>
                </c:pt>
                <c:pt idx="18">
                  <c:v>2.9279999999999999</c:v>
                </c:pt>
                <c:pt idx="19">
                  <c:v>55.896999999999998</c:v>
                </c:pt>
                <c:pt idx="20">
                  <c:v>0</c:v>
                </c:pt>
                <c:pt idx="21">
                  <c:v>1765.0219999999999</c:v>
                </c:pt>
                <c:pt idx="22">
                  <c:v>40.027000000000001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384.89699999999999</c:v>
                </c:pt>
                <c:pt idx="28">
                  <c:v>26.986000000000001</c:v>
                </c:pt>
                <c:pt idx="29">
                  <c:v>174.352</c:v>
                </c:pt>
                <c:pt idx="30">
                  <c:v>9.4489999999999998</c:v>
                </c:pt>
                <c:pt idx="31">
                  <c:v>5.8310000000000004</c:v>
                </c:pt>
                <c:pt idx="32">
                  <c:v>301.76100000000002</c:v>
                </c:pt>
                <c:pt idx="33">
                  <c:v>255.05999999999949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  <c:pt idx="4">
                  <c:v>180.49600000000001</c:v>
                </c:pt>
                <c:pt idx="5">
                  <c:v>173.89400000000001</c:v>
                </c:pt>
                <c:pt idx="6">
                  <c:v>187.74799999999999</c:v>
                </c:pt>
                <c:pt idx="7">
                  <c:v>182.61799999999999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5627.2970000000005</c:v>
                </c:pt>
                <c:pt idx="1">
                  <c:v>5219.4040000000005</c:v>
                </c:pt>
                <c:pt idx="2">
                  <c:v>5229.4089999999997</c:v>
                </c:pt>
                <c:pt idx="3">
                  <c:v>5268.62</c:v>
                </c:pt>
                <c:pt idx="4">
                  <c:v>5632.6569999999992</c:v>
                </c:pt>
                <c:pt idx="5">
                  <c:v>5001.5909999999994</c:v>
                </c:pt>
                <c:pt idx="6">
                  <c:v>5539.1399999999994</c:v>
                </c:pt>
                <c:pt idx="7">
                  <c:v>5496.3909999999996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4917.4210000000003</c:v>
                </c:pt>
                <c:pt idx="3">
                  <c:v>6291.4139999999998</c:v>
                </c:pt>
                <c:pt idx="4">
                  <c:v>5922.1580000000004</c:v>
                </c:pt>
                <c:pt idx="5">
                  <c:v>5076.2169999999996</c:v>
                </c:pt>
                <c:pt idx="6">
                  <c:v>4951.8909999999996</c:v>
                </c:pt>
                <c:pt idx="7">
                  <c:v>5766.5609999999997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-8.9480000000003201</c:v>
                </c:pt>
                <c:pt idx="2">
                  <c:v>-95.347999999999956</c:v>
                </c:pt>
                <c:pt idx="3">
                  <c:v>48.972000000000662</c:v>
                </c:pt>
                <c:pt idx="4">
                  <c:v>25.162999999999556</c:v>
                </c:pt>
                <c:pt idx="5">
                  <c:v>-117.7579999999989</c:v>
                </c:pt>
                <c:pt idx="6">
                  <c:v>81.727000000000771</c:v>
                </c:pt>
                <c:pt idx="7">
                  <c:v>93.73700000000008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-400.02199999999999</c:v>
                </c:pt>
                <c:pt idx="3">
                  <c:v>810.17700000000002</c:v>
                </c:pt>
                <c:pt idx="4">
                  <c:v>141.053</c:v>
                </c:pt>
                <c:pt idx="5">
                  <c:v>37.000999999999998</c:v>
                </c:pt>
                <c:pt idx="6">
                  <c:v>-476.55399999999997</c:v>
                </c:pt>
                <c:pt idx="7">
                  <c:v>276.88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170.74199999999996</c:v>
                </c:pt>
                <c:pt idx="1">
                  <c:v>12.411000000000001</c:v>
                </c:pt>
                <c:pt idx="2">
                  <c:v>-72.739000000000033</c:v>
                </c:pt>
                <c:pt idx="3">
                  <c:v>88.158000000000015</c:v>
                </c:pt>
                <c:pt idx="4">
                  <c:v>44.699000000000012</c:v>
                </c:pt>
                <c:pt idx="5">
                  <c:v>-61.539000000000001</c:v>
                </c:pt>
                <c:pt idx="6">
                  <c:v>-38.465000000000032</c:v>
                </c:pt>
                <c:pt idx="7">
                  <c:v>31.04000000000002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59.488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45.326999999999998</c:v>
                </c:pt>
                <c:pt idx="4">
                  <c:v>27.544999999999998</c:v>
                </c:pt>
                <c:pt idx="5">
                  <c:v>88.7</c:v>
                </c:pt>
                <c:pt idx="6">
                  <c:v>48.823999999999998</c:v>
                </c:pt>
                <c:pt idx="7">
                  <c:v>19.875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103.84400000000005</c:v>
                </c:pt>
                <c:pt idx="1">
                  <c:v>263.03199999999924</c:v>
                </c:pt>
                <c:pt idx="2">
                  <c:v>95.601000000001477</c:v>
                </c:pt>
                <c:pt idx="3">
                  <c:v>218.8100000000004</c:v>
                </c:pt>
                <c:pt idx="4">
                  <c:v>156.52600000000075</c:v>
                </c:pt>
                <c:pt idx="5">
                  <c:v>70.106000000000677</c:v>
                </c:pt>
                <c:pt idx="6">
                  <c:v>58.321000000000822</c:v>
                </c:pt>
                <c:pt idx="7">
                  <c:v>75.86200000000008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5481.2889999999998</c:v>
                </c:pt>
                <c:pt idx="4">
                  <c:v>5781.174</c:v>
                </c:pt>
                <c:pt idx="5">
                  <c:v>5039.2160000000003</c:v>
                </c:pt>
                <c:pt idx="6">
                  <c:v>5428.4449999999997</c:v>
                </c:pt>
                <c:pt idx="7">
                  <c:v>5489.6809999999996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5731.1409999999996</c:v>
                </c:pt>
                <c:pt idx="1">
                  <c:v>5482.4359999999997</c:v>
                </c:pt>
                <c:pt idx="2">
                  <c:v>5325.0100000000011</c:v>
                </c:pt>
                <c:pt idx="3">
                  <c:v>5487.43</c:v>
                </c:pt>
                <c:pt idx="4">
                  <c:v>5789.1830000000009</c:v>
                </c:pt>
                <c:pt idx="5">
                  <c:v>5071.6970000000001</c:v>
                </c:pt>
                <c:pt idx="6">
                  <c:v>5597.4610000000002</c:v>
                </c:pt>
                <c:pt idx="7">
                  <c:v>5572.2529999999997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  <c:pt idx="4">
                  <c:v>86.576999999999998</c:v>
                </c:pt>
                <c:pt idx="5">
                  <c:v>74.088999999999999</c:v>
                </c:pt>
                <c:pt idx="6">
                  <c:v>93.162000000000006</c:v>
                </c:pt>
                <c:pt idx="7">
                  <c:v>83.454999999999998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  <c:pt idx="4">
                  <c:v>0</c:v>
                </c:pt>
                <c:pt idx="5">
                  <c:v>0.72100000000000364</c:v>
                </c:pt>
                <c:pt idx="6">
                  <c:v>18.49799999999999</c:v>
                </c:pt>
                <c:pt idx="7">
                  <c:v>0.9620000000000033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  <c:pt idx="4">
                  <c:v>162.30500000000001</c:v>
                </c:pt>
                <c:pt idx="5">
                  <c:v>137.31100000000001</c:v>
                </c:pt>
                <c:pt idx="6">
                  <c:v>142.62</c:v>
                </c:pt>
                <c:pt idx="7">
                  <c:v>164.34399999999999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  <c:pt idx="4">
                  <c:v>104.72499999999999</c:v>
                </c:pt>
                <c:pt idx="5">
                  <c:v>95.748999999999995</c:v>
                </c:pt>
                <c:pt idx="6">
                  <c:v>79.078999999999994</c:v>
                </c:pt>
                <c:pt idx="7">
                  <c:v>65.63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  <c:pt idx="4">
                  <c:v>13.742000000000001</c:v>
                </c:pt>
                <c:pt idx="5">
                  <c:v>10.093999999999999</c:v>
                </c:pt>
                <c:pt idx="6">
                  <c:v>7.5359999999999996</c:v>
                </c:pt>
                <c:pt idx="7">
                  <c:v>4.6150000000000002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  <c:pt idx="4">
                  <c:v>757.63400000000001</c:v>
                </c:pt>
                <c:pt idx="5">
                  <c:v>648.99199999999996</c:v>
                </c:pt>
                <c:pt idx="6">
                  <c:v>799.53599999999994</c:v>
                </c:pt>
                <c:pt idx="7">
                  <c:v>803.70100000000002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  <c:pt idx="4">
                  <c:v>40.094000000000001</c:v>
                </c:pt>
                <c:pt idx="5">
                  <c:v>36.81</c:v>
                </c:pt>
                <c:pt idx="6">
                  <c:v>38.354999999999997</c:v>
                </c:pt>
                <c:pt idx="7">
                  <c:v>34.292000000000002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  <c:pt idx="4">
                  <c:v>891.09799999999996</c:v>
                </c:pt>
                <c:pt idx="5">
                  <c:v>794.64599999999996</c:v>
                </c:pt>
                <c:pt idx="6">
                  <c:v>865.64800000000002</c:v>
                </c:pt>
                <c:pt idx="7">
                  <c:v>851.59699999999998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254.19</c:v>
                </c:pt>
                <c:pt idx="1">
                  <c:v>218.411</c:v>
                </c:pt>
                <c:pt idx="2">
                  <c:v>292.517</c:v>
                </c:pt>
                <c:pt idx="3">
                  <c:v>271.846</c:v>
                </c:pt>
                <c:pt idx="4">
                  <c:v>268.11700000000002</c:v>
                </c:pt>
                <c:pt idx="5">
                  <c:v>189.79</c:v>
                </c:pt>
                <c:pt idx="6">
                  <c:v>250.96199999999999</c:v>
                </c:pt>
                <c:pt idx="7">
                  <c:v>263.01499999999999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  <c:pt idx="4">
                  <c:v>34.960999999999999</c:v>
                </c:pt>
                <c:pt idx="5">
                  <c:v>22.378</c:v>
                </c:pt>
                <c:pt idx="6">
                  <c:v>28.337</c:v>
                </c:pt>
                <c:pt idx="7">
                  <c:v>19.952000000000002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  <c:pt idx="4">
                  <c:v>7.3479999999999999</c:v>
                </c:pt>
                <c:pt idx="5">
                  <c:v>4.2850000000000001</c:v>
                </c:pt>
                <c:pt idx="6">
                  <c:v>3.3490000000000002</c:v>
                </c:pt>
                <c:pt idx="7">
                  <c:v>2.9279999999999999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  <c:pt idx="4">
                  <c:v>24.413</c:v>
                </c:pt>
                <c:pt idx="5">
                  <c:v>31.623000000000001</c:v>
                </c:pt>
                <c:pt idx="6">
                  <c:v>46.93</c:v>
                </c:pt>
                <c:pt idx="7">
                  <c:v>55.896999999999998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1932.47</c:v>
                </c:pt>
                <c:pt idx="1">
                  <c:v>1785.873</c:v>
                </c:pt>
                <c:pt idx="2">
                  <c:v>1766.7179999999998</c:v>
                </c:pt>
                <c:pt idx="3">
                  <c:v>1751.6610000000001</c:v>
                </c:pt>
                <c:pt idx="4">
                  <c:v>1896.3790000000001</c:v>
                </c:pt>
                <c:pt idx="5">
                  <c:v>1689.8719999999998</c:v>
                </c:pt>
                <c:pt idx="6">
                  <c:v>1784.0399999999997</c:v>
                </c:pt>
                <c:pt idx="7">
                  <c:v>1765.0219999999999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0</c:v>
                </c:pt>
                <c:pt idx="1">
                  <c:v>7.27</c:v>
                </c:pt>
                <c:pt idx="2">
                  <c:v>18.771000000000001</c:v>
                </c:pt>
                <c:pt idx="3">
                  <c:v>22.597000000000001</c:v>
                </c:pt>
                <c:pt idx="4">
                  <c:v>42.872</c:v>
                </c:pt>
                <c:pt idx="5">
                  <c:v>37.173000000000002</c:v>
                </c:pt>
                <c:pt idx="6">
                  <c:v>38.064</c:v>
                </c:pt>
                <c:pt idx="7">
                  <c:v>40.027000000000001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17.826000000000001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132522</xdr:colOff>
      <xdr:row>1</xdr:row>
      <xdr:rowOff>24847</xdr:rowOff>
    </xdr:from>
    <xdr:to>
      <xdr:col>3</xdr:col>
      <xdr:colOff>660512</xdr:colOff>
      <xdr:row>5</xdr:row>
      <xdr:rowOff>13140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EF7DE9-3D22-321D-558B-DBE56B009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2" y="207064"/>
          <a:ext cx="2813990" cy="7171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showGridLines="0" tabSelected="1" zoomScale="115" zoomScaleNormal="115" workbookViewId="0">
      <selection activeCell="J9" sqref="J9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0" t="s">
        <v>59</v>
      </c>
      <c r="C13" s="90"/>
      <c r="D13" s="90"/>
      <c r="E13" s="90"/>
      <c r="F13" s="90"/>
      <c r="G13" s="90"/>
      <c r="H13" s="90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0"/>
      <c r="C14" s="90"/>
      <c r="D14" s="90"/>
      <c r="E14" s="90"/>
      <c r="F14" s="90"/>
      <c r="G14" s="90"/>
      <c r="H14" s="90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1" t="str">
        <f>'2024'!AV3</f>
        <v>AGOSTO 2024</v>
      </c>
      <c r="C16" s="91"/>
      <c r="D16" s="91"/>
      <c r="E16" s="91"/>
      <c r="F16" s="91"/>
      <c r="G16" s="91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1"/>
      <c r="C17" s="91"/>
      <c r="D17" s="91"/>
      <c r="E17" s="91"/>
      <c r="F17" s="91"/>
      <c r="G17" s="91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1"/>
      <c r="C18" s="91"/>
      <c r="D18" s="91"/>
      <c r="E18" s="91"/>
      <c r="F18" s="91"/>
      <c r="G18" s="91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2" t="s">
        <v>63</v>
      </c>
      <c r="B34" s="92"/>
      <c r="C34" s="92"/>
      <c r="D34" s="92"/>
      <c r="E34" s="92"/>
      <c r="F34" s="92"/>
      <c r="G34" s="92"/>
      <c r="H34" s="92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zoomScale="70" zoomScaleNormal="7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J58" sqref="J58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zoomScale="70" zoomScaleNormal="70" workbookViewId="0">
      <selection activeCell="N22" sqref="N22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1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2"/>
      <c r="AS4" s="82"/>
      <c r="AT4" s="82"/>
      <c r="AU4" s="82"/>
      <c r="AV4" s="82"/>
      <c r="AW4" s="82"/>
      <c r="AX4" s="82"/>
      <c r="AY4" s="82"/>
      <c r="AZ4" s="82"/>
      <c r="BA4" s="82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f>SUM(B5:M5)</f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f>SUM(B6:M6)</f>
        <v>61558.654000000002</v>
      </c>
      <c r="P6" s="34"/>
      <c r="Q6" s="34"/>
      <c r="R6" s="47"/>
      <c r="AR6" s="32"/>
      <c r="AS6" s="32"/>
      <c r="AT6" s="32"/>
      <c r="AU6" s="83"/>
      <c r="AV6" s="84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f t="shared" ref="N7:N49" si="0">SUM(B7:M7)</f>
        <v>-346.42199999999957</v>
      </c>
      <c r="P7" s="34"/>
      <c r="Q7" s="34"/>
      <c r="R7" s="47"/>
      <c r="AR7" s="32"/>
      <c r="AS7" s="32"/>
      <c r="AT7" s="32"/>
      <c r="AU7" s="83"/>
      <c r="AV7" s="84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f t="shared" si="0"/>
        <v>-326.49300000000005</v>
      </c>
      <c r="P8" s="34"/>
      <c r="Q8" s="34"/>
      <c r="R8" s="47"/>
      <c r="AR8" s="32"/>
      <c r="AS8" s="32"/>
      <c r="AT8" s="32"/>
      <c r="AU8" s="83"/>
      <c r="AV8" s="84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f t="shared" si="0"/>
        <v>-25.735999999999933</v>
      </c>
      <c r="P9" s="34"/>
      <c r="Q9" s="34"/>
      <c r="R9" s="47"/>
      <c r="AR9" s="32"/>
      <c r="AS9" s="32"/>
      <c r="AT9" s="32"/>
      <c r="AU9" s="32"/>
      <c r="AV9" s="84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f t="shared" si="0"/>
        <v>899.87900000000002</v>
      </c>
      <c r="P10" s="34"/>
      <c r="Q10" s="34"/>
      <c r="R10" s="47"/>
      <c r="AR10" s="32"/>
      <c r="AS10" s="32"/>
      <c r="AT10" s="32"/>
      <c r="AU10" s="32"/>
      <c r="AV10" s="84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R11" s="32"/>
      <c r="AS11" s="32"/>
      <c r="AT11" s="32"/>
      <c r="AU11" s="83"/>
      <c r="AV11" s="84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f>SUM(B12:M12)</f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5"/>
      <c r="AS12" s="85"/>
      <c r="AT12" s="85"/>
      <c r="AU12" s="83"/>
      <c r="AV12" s="86"/>
      <c r="AW12" s="85"/>
      <c r="AX12" s="85"/>
      <c r="AY12" s="85"/>
      <c r="AZ12" s="85"/>
      <c r="BA12" s="85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f t="shared" si="0"/>
        <v>61885.819000000003</v>
      </c>
      <c r="P13" s="34"/>
      <c r="Q13" s="34"/>
      <c r="R13" s="47"/>
      <c r="AR13" s="32"/>
      <c r="AS13" s="32"/>
      <c r="AT13" s="32"/>
      <c r="AU13" s="83"/>
      <c r="AV13" s="84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173.92499999999836</v>
      </c>
      <c r="C14" s="28">
        <v>20.082000000001244</v>
      </c>
      <c r="D14" s="28">
        <v>155.42199999999866</v>
      </c>
      <c r="E14" s="28">
        <v>50.17699999999968</v>
      </c>
      <c r="F14" s="28">
        <v>30.166000000001077</v>
      </c>
      <c r="G14" s="28">
        <v>12.653000000002066</v>
      </c>
      <c r="H14" s="28">
        <v>207.57600000000093</v>
      </c>
      <c r="I14" s="46">
        <v>5.1539999999995416</v>
      </c>
      <c r="J14" s="28">
        <v>87.34900000000107</v>
      </c>
      <c r="K14" s="28">
        <v>7.6409999999996217</v>
      </c>
      <c r="L14" s="28">
        <v>148.61899999999878</v>
      </c>
      <c r="M14" s="28">
        <v>83.568999999998596</v>
      </c>
      <c r="N14" s="29">
        <f t="shared" si="0"/>
        <v>982.33299999999963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3"/>
      <c r="AV14" s="84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v>5189.3350000000009</v>
      </c>
      <c r="C15" s="24">
        <v>4606.6719999999987</v>
      </c>
      <c r="D15" s="24">
        <v>4787.3370000000004</v>
      </c>
      <c r="E15" s="24">
        <v>5208.58</v>
      </c>
      <c r="F15" s="24">
        <v>5021.5209999999997</v>
      </c>
      <c r="G15" s="24">
        <v>4917.6839999999993</v>
      </c>
      <c r="H15" s="24">
        <v>5299.2089999999989</v>
      </c>
      <c r="I15" s="24">
        <v>5535.7529999999997</v>
      </c>
      <c r="J15" s="24">
        <v>5333.7169999999996</v>
      </c>
      <c r="K15" s="24">
        <v>5132.0770000000002</v>
      </c>
      <c r="L15" s="24">
        <v>4955.4100000000008</v>
      </c>
      <c r="M15" s="24">
        <v>5495.3840000000009</v>
      </c>
      <c r="N15" s="25">
        <f t="shared" si="0"/>
        <v>61482.678999999996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3"/>
      <c r="AV15" s="84"/>
    </row>
    <row r="16" spans="1:53" ht="16.5" customHeight="1" x14ac:dyDescent="0.2">
      <c r="A16" s="9" t="s">
        <v>14</v>
      </c>
      <c r="B16" s="3">
        <v>231.304</v>
      </c>
      <c r="C16" s="2">
        <v>169.786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f t="shared" si="0"/>
        <v>2094.3510000000001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7"/>
      <c r="AV17" s="88"/>
      <c r="AW17" s="88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f t="shared" si="0"/>
        <v>1055.7279999999998</v>
      </c>
      <c r="AU18" s="87"/>
      <c r="AV18" s="88"/>
      <c r="AW18" s="88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8.9720000000000084</v>
      </c>
      <c r="L19" s="2">
        <v>38.56</v>
      </c>
      <c r="M19" s="2">
        <v>35.778000000000006</v>
      </c>
      <c r="N19" s="4">
        <f t="shared" si="0"/>
        <v>138.79500000000002</v>
      </c>
      <c r="AU19" s="87"/>
      <c r="AV19" s="88"/>
      <c r="AW19" s="88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f t="shared" si="0"/>
        <v>1641.7580000000003</v>
      </c>
      <c r="AU20" s="87"/>
      <c r="AV20" s="88"/>
      <c r="AW20" s="88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7"/>
      <c r="AV21" s="88"/>
      <c r="AW21" s="88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107.002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f t="shared" si="0"/>
        <v>945.81299999999999</v>
      </c>
      <c r="AU22" s="87"/>
      <c r="AV22" s="88"/>
      <c r="AW22" s="88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f t="shared" si="0"/>
        <v>97.459000000000003</v>
      </c>
      <c r="AU23" s="87"/>
      <c r="AV23" s="88"/>
      <c r="AW23" s="88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7"/>
      <c r="AV24" s="88"/>
      <c r="AW24" s="88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f t="shared" si="0"/>
        <v>8649.3249999999989</v>
      </c>
      <c r="AU25" s="87"/>
      <c r="AV25" s="88"/>
      <c r="AW25" s="88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7"/>
      <c r="AV26" s="88"/>
      <c r="AW26" s="88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7"/>
      <c r="AV27" s="88"/>
      <c r="AW27" s="88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f t="shared" si="0"/>
        <v>398.375</v>
      </c>
      <c r="AU28" s="87"/>
      <c r="AV28" s="88"/>
      <c r="AW28" s="88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7"/>
      <c r="AV29" s="88"/>
      <c r="AW29" s="88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f t="shared" si="0"/>
        <v>9387.0400000000009</v>
      </c>
      <c r="AU30" s="87"/>
      <c r="AV30" s="88"/>
      <c r="AW30" s="88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7"/>
      <c r="AV31" s="88"/>
      <c r="AW31" s="88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288.99900000000002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83.578999999999994</v>
      </c>
      <c r="M32" s="2">
        <v>202.62200000000001</v>
      </c>
      <c r="N32" s="4">
        <f t="shared" si="0"/>
        <v>2491.8160000000003</v>
      </c>
      <c r="AU32" s="87"/>
      <c r="AV32" s="88"/>
      <c r="AW32" s="88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f t="shared" si="0"/>
        <v>270.95500000000004</v>
      </c>
      <c r="AU33" s="87"/>
      <c r="AV33" s="88"/>
      <c r="AW33" s="88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f t="shared" si="0"/>
        <v>92.393000000000001</v>
      </c>
      <c r="AU34" s="87"/>
      <c r="AV34" s="88"/>
      <c r="AW34" s="88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f t="shared" si="0"/>
        <v>664.36899999999991</v>
      </c>
      <c r="AU35" s="87"/>
      <c r="AV35" s="88"/>
      <c r="AW35" s="88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7"/>
      <c r="AV36" s="88"/>
      <c r="AW36" s="88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1891.0509999999999</v>
      </c>
      <c r="F37" s="2">
        <v>1748.0620000000001</v>
      </c>
      <c r="G37" s="2">
        <v>1789.0219999999999</v>
      </c>
      <c r="H37" s="2">
        <v>1852.098</v>
      </c>
      <c r="I37" s="2">
        <v>1945.722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f t="shared" si="0"/>
        <v>22059.61</v>
      </c>
      <c r="AU37" s="87"/>
      <c r="AV37" s="88"/>
      <c r="AW37" s="88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12.53</v>
      </c>
      <c r="G38" s="2">
        <v>9.94</v>
      </c>
      <c r="H38" s="2">
        <v>9.2560000000000002</v>
      </c>
      <c r="I38" s="2">
        <v>8.7309999999999999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f t="shared" si="0"/>
        <v>151.49299999999999</v>
      </c>
      <c r="AU38" s="87"/>
      <c r="AV38" s="88"/>
      <c r="AW38" s="88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7"/>
      <c r="AV39" s="88"/>
      <c r="AW39" s="88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f t="shared" si="0"/>
        <v>1E-3</v>
      </c>
      <c r="AU40" s="87"/>
      <c r="AV40" s="88"/>
      <c r="AW40" s="88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f t="shared" si="0"/>
        <v>5.0659999999999998</v>
      </c>
      <c r="AU41" s="87"/>
      <c r="AV41" s="88"/>
      <c r="AW41" s="88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3.0000000000000001E-3</v>
      </c>
      <c r="AU42" s="87"/>
      <c r="AV42" s="88"/>
      <c r="AW42" s="88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f t="shared" si="0"/>
        <v>3941.1609999999996</v>
      </c>
      <c r="AU43" s="87"/>
      <c r="AV43" s="88"/>
      <c r="AW43" s="88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f t="shared" si="0"/>
        <v>310.36</v>
      </c>
      <c r="AU44" s="87"/>
      <c r="AV44" s="88"/>
      <c r="AW44" s="88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f t="shared" si="0"/>
        <v>1822.5049999999999</v>
      </c>
      <c r="AU45" s="87"/>
      <c r="AV45" s="88"/>
      <c r="AW45" s="88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f t="shared" si="0"/>
        <v>122.27900000000001</v>
      </c>
      <c r="AU46" s="87"/>
      <c r="AV46" s="88"/>
      <c r="AW46" s="88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f t="shared" si="0"/>
        <v>68.566999999999993</v>
      </c>
      <c r="AU47" s="87"/>
      <c r="AV47" s="88"/>
      <c r="AW47" s="88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306.91699999999997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f t="shared" si="0"/>
        <v>3437.4449999999997</v>
      </c>
      <c r="AU48" s="87"/>
      <c r="AV48" s="88"/>
      <c r="AW48" s="88"/>
    </row>
    <row r="49" spans="1:49" ht="18" customHeight="1" x14ac:dyDescent="0.2">
      <c r="A49" s="10" t="s">
        <v>52</v>
      </c>
      <c r="B49" s="7">
        <v>98.734000000002197</v>
      </c>
      <c r="C49" s="5">
        <v>160.85099999999875</v>
      </c>
      <c r="D49" s="5">
        <v>152.20700000000002</v>
      </c>
      <c r="E49" s="5">
        <v>68.241000000000895</v>
      </c>
      <c r="F49" s="5">
        <v>94.30699999999888</v>
      </c>
      <c r="G49" s="5">
        <v>41.46100000000115</v>
      </c>
      <c r="H49" s="5">
        <v>185.905</v>
      </c>
      <c r="I49" s="5">
        <v>210.77000000000004</v>
      </c>
      <c r="J49" s="5">
        <v>126.13699999999997</v>
      </c>
      <c r="K49" s="5">
        <v>195.59100000000004</v>
      </c>
      <c r="L49" s="5">
        <v>124.83499999999998</v>
      </c>
      <c r="M49" s="5">
        <v>176.97300000000087</v>
      </c>
      <c r="N49" s="6">
        <f t="shared" si="0"/>
        <v>1636.0120000000029</v>
      </c>
      <c r="AU49" s="87"/>
      <c r="AV49" s="88"/>
      <c r="AW49" s="88"/>
    </row>
    <row r="50" spans="1:49" x14ac:dyDescent="0.2">
      <c r="F50" s="41"/>
      <c r="AU50" s="87"/>
      <c r="AW50" s="88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zoomScale="70" zoomScaleNormal="70" workbookViewId="0">
      <selection activeCell="AS60" sqref="AS60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1" customWidth="1"/>
    <col min="47" max="47" width="36.75" style="71" customWidth="1"/>
    <col min="48" max="48" width="12.625" style="71" customWidth="1"/>
    <col min="49" max="49" width="11.5" style="71" customWidth="1"/>
    <col min="50" max="50" width="11.5" style="1"/>
    <col min="51" max="51" width="11.5" style="71"/>
    <col min="52" max="61" width="11.5" style="1"/>
  </cols>
  <sheetData>
    <row r="1" spans="1:61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 t="str">
        <f>"MOVIMIENTO DE CRUDOS Y OBTENCIÓN DE PRODUCTOS PETROLÍFEROS - " &amp;AV3</f>
        <v>MOVIMIENTO DE CRUDOS Y OBTENCIÓN DE PRODUCTOS PETROLÍFEROS - AGOSTO 2024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2" t="str">
        <f>UPPER(TEXT(MAXA(B4:M4),"mmmm aaaa"))</f>
        <v>AGOSTO 2024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>
        <v>45413</v>
      </c>
      <c r="G4" s="14">
        <v>45444</v>
      </c>
      <c r="H4" s="14">
        <v>45474</v>
      </c>
      <c r="I4" s="14">
        <v>45505</v>
      </c>
      <c r="J4" s="14"/>
      <c r="K4" s="14"/>
      <c r="L4" s="14"/>
      <c r="M4" s="14"/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2"/>
      <c r="AT4" s="73"/>
      <c r="AU4" s="73"/>
      <c r="AV4" s="73"/>
      <c r="AW4" s="73"/>
      <c r="AX4" s="82"/>
      <c r="AY4" s="73"/>
      <c r="AZ4" s="82"/>
      <c r="BA4" s="82"/>
      <c r="BB4" s="82"/>
      <c r="BC4" s="82"/>
      <c r="BD4" s="82"/>
      <c r="BE4" s="82"/>
      <c r="BF4" s="82"/>
      <c r="BG4" s="82"/>
      <c r="BH4" s="82"/>
      <c r="BI4" s="82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>
        <v>6.9000000000000006E-2</v>
      </c>
      <c r="G5" s="19">
        <v>0</v>
      </c>
      <c r="H5" s="19">
        <v>0</v>
      </c>
      <c r="I5" s="45">
        <v>0</v>
      </c>
      <c r="J5" s="19"/>
      <c r="K5" s="19"/>
      <c r="L5" s="19"/>
      <c r="M5" s="19"/>
      <c r="N5" s="20">
        <f>SUM(B5:M5)</f>
        <v>0.23299999999999998</v>
      </c>
      <c r="P5" s="34"/>
      <c r="Q5" s="34"/>
      <c r="R5" s="47"/>
      <c r="AS5" s="32"/>
      <c r="AT5" s="74"/>
      <c r="AU5" s="74"/>
      <c r="AV5" s="74"/>
      <c r="AW5" s="74"/>
      <c r="AX5" s="32"/>
      <c r="AY5" s="74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4917.4210000000003</v>
      </c>
      <c r="E6" s="24">
        <v>6291.4139999999998</v>
      </c>
      <c r="F6" s="24">
        <v>5922.1580000000004</v>
      </c>
      <c r="G6" s="24">
        <v>5076.2169999999996</v>
      </c>
      <c r="H6" s="24">
        <v>4951.8909999999996</v>
      </c>
      <c r="I6" s="24">
        <v>5766.5609999999997</v>
      </c>
      <c r="J6" s="24"/>
      <c r="K6" s="24"/>
      <c r="L6" s="24"/>
      <c r="M6" s="24"/>
      <c r="N6" s="25">
        <f>SUM(B6:M6)</f>
        <v>44253.241999999998</v>
      </c>
      <c r="P6" s="34"/>
      <c r="Q6" s="34"/>
      <c r="R6" s="47"/>
      <c r="AS6" s="32"/>
      <c r="AT6" s="74"/>
      <c r="AU6" s="75" t="str">
        <f>A6</f>
        <v>IMPORTACIONES DE CRUDO</v>
      </c>
      <c r="AV6" s="76">
        <f>HLOOKUP(MAXA(B4:M4),$B$4:$M$6,3,FALSE)</f>
        <v>5766.5609999999997</v>
      </c>
      <c r="AW6" s="74"/>
      <c r="AX6" s="32"/>
      <c r="AY6" s="74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-8.9480000000003201</v>
      </c>
      <c r="D7" s="28">
        <v>-95.347999999999956</v>
      </c>
      <c r="E7" s="28">
        <v>48.972000000000662</v>
      </c>
      <c r="F7" s="28">
        <v>25.162999999999556</v>
      </c>
      <c r="G7" s="28">
        <v>-117.7579999999989</v>
      </c>
      <c r="H7" s="28">
        <v>81.727000000000771</v>
      </c>
      <c r="I7" s="28">
        <v>93.73700000000008</v>
      </c>
      <c r="J7" s="28"/>
      <c r="K7" s="28"/>
      <c r="L7" s="28"/>
      <c r="M7" s="28"/>
      <c r="N7" s="29">
        <f t="shared" ref="N7:N49" si="0">SUM(B7:M7)</f>
        <v>148.33900000000176</v>
      </c>
      <c r="P7" s="34"/>
      <c r="Q7" s="34"/>
      <c r="R7" s="47"/>
      <c r="AS7" s="32"/>
      <c r="AT7" s="74"/>
      <c r="AU7" s="75" t="str">
        <f>A12</f>
        <v>TOTAL PROCESADO</v>
      </c>
      <c r="AV7" s="76">
        <f>HLOOKUP(MAXA(B4:M4),$B$4:$M$12,9,FALSE)</f>
        <v>5572.2529999999997</v>
      </c>
      <c r="AW7" s="74"/>
      <c r="AX7" s="32"/>
      <c r="AY7" s="74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-400.02199999999999</v>
      </c>
      <c r="E8" s="28">
        <v>810.17700000000002</v>
      </c>
      <c r="F8" s="28">
        <v>141.053</v>
      </c>
      <c r="G8" s="28">
        <v>37.000999999999998</v>
      </c>
      <c r="H8" s="28">
        <v>-476.55399999999997</v>
      </c>
      <c r="I8" s="28">
        <v>276.88</v>
      </c>
      <c r="J8" s="28"/>
      <c r="K8" s="28"/>
      <c r="L8" s="28"/>
      <c r="M8" s="28"/>
      <c r="N8" s="29">
        <f t="shared" si="0"/>
        <v>513.21300000000008</v>
      </c>
      <c r="P8" s="34"/>
      <c r="Q8" s="34"/>
      <c r="R8" s="47"/>
      <c r="AS8" s="32"/>
      <c r="AT8" s="74"/>
      <c r="AU8" s="75" t="str">
        <f>A15</f>
        <v>PRODUCCION BRUTA DE REFINERIA</v>
      </c>
      <c r="AV8" s="76">
        <f>HLOOKUP(MAXA(B4:M4),$B$4:$M$15,12,FALSE)</f>
        <v>5496.3909999999996</v>
      </c>
      <c r="AW8" s="74"/>
      <c r="AX8" s="32"/>
      <c r="AY8" s="74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170.74199999999996</v>
      </c>
      <c r="C9" s="28">
        <v>12.411000000000001</v>
      </c>
      <c r="D9" s="28">
        <v>-72.739000000000033</v>
      </c>
      <c r="E9" s="28">
        <v>88.158000000000015</v>
      </c>
      <c r="F9" s="28">
        <v>44.699000000000012</v>
      </c>
      <c r="G9" s="28">
        <v>-61.539000000000001</v>
      </c>
      <c r="H9" s="28">
        <v>-38.465000000000032</v>
      </c>
      <c r="I9" s="28">
        <v>31.04000000000002</v>
      </c>
      <c r="J9" s="28"/>
      <c r="K9" s="28"/>
      <c r="L9" s="28"/>
      <c r="M9" s="28"/>
      <c r="N9" s="29">
        <f t="shared" si="0"/>
        <v>174.30699999999996</v>
      </c>
      <c r="P9" s="34"/>
      <c r="Q9" s="34"/>
      <c r="R9" s="47"/>
      <c r="AS9" s="32"/>
      <c r="AT9" s="74"/>
      <c r="AU9" s="74"/>
      <c r="AV9" s="76"/>
      <c r="AW9" s="74"/>
      <c r="AX9" s="32"/>
      <c r="AY9" s="74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59.488</v>
      </c>
      <c r="C10" s="28">
        <v>22.417999999999999</v>
      </c>
      <c r="D10" s="28">
        <v>30.14</v>
      </c>
      <c r="E10" s="28">
        <v>45.326999999999998</v>
      </c>
      <c r="F10" s="28">
        <v>27.544999999999998</v>
      </c>
      <c r="G10" s="28">
        <v>88.7</v>
      </c>
      <c r="H10" s="28">
        <v>48.823999999999998</v>
      </c>
      <c r="I10" s="28">
        <v>19.875</v>
      </c>
      <c r="J10" s="28"/>
      <c r="K10" s="28"/>
      <c r="L10" s="28"/>
      <c r="M10" s="28"/>
      <c r="N10" s="29">
        <f t="shared" si="0"/>
        <v>342.31700000000001</v>
      </c>
      <c r="P10" s="34"/>
      <c r="Q10" s="34"/>
      <c r="R10" s="47"/>
      <c r="AS10" s="32"/>
      <c r="AT10" s="74"/>
      <c r="AU10" s="74"/>
      <c r="AV10" s="76"/>
      <c r="AW10" s="74"/>
      <c r="AX10" s="32"/>
      <c r="AY10" s="74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8"/>
      <c r="M11" s="28"/>
      <c r="N11" s="29">
        <f t="shared" si="0"/>
        <v>0</v>
      </c>
      <c r="P11" s="35"/>
      <c r="Q11" s="55"/>
      <c r="R11" s="47"/>
      <c r="AS11" s="32"/>
      <c r="AT11" s="74"/>
      <c r="AU11" s="75" t="str">
        <f>A7</f>
        <v>IMPORTACIONES DE PROD. INTERMEDIOS Y MAT. AUXILIARES</v>
      </c>
      <c r="AV11" s="76">
        <f>HLOOKUP(MAXA(B4:M4),$B$4:$M$15,4,FALSE)</f>
        <v>93.73700000000008</v>
      </c>
      <c r="AW11" s="74"/>
      <c r="AX11" s="32"/>
      <c r="AY11" s="74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5731.1409999999996</v>
      </c>
      <c r="C12" s="24">
        <v>5482.4359999999997</v>
      </c>
      <c r="D12" s="24">
        <v>5325.0100000000011</v>
      </c>
      <c r="E12" s="24">
        <v>5487.43</v>
      </c>
      <c r="F12" s="24">
        <v>5789.1830000000009</v>
      </c>
      <c r="G12" s="24">
        <v>5071.6970000000001</v>
      </c>
      <c r="H12" s="24">
        <v>5597.4610000000002</v>
      </c>
      <c r="I12" s="24">
        <v>5572.2529999999997</v>
      </c>
      <c r="J12" s="24"/>
      <c r="K12" s="24"/>
      <c r="L12" s="24"/>
      <c r="M12" s="24"/>
      <c r="N12" s="25">
        <f>SUM(B12:M12)</f>
        <v>44056.610999999997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5"/>
      <c r="AT12" s="77"/>
      <c r="AU12" s="75" t="str">
        <f>A8</f>
        <v>VARIACION DE STOCKS DE CRUDOS (Ef-Ei)</v>
      </c>
      <c r="AV12" s="78">
        <f>HLOOKUP(MAXA(B4:M4),$B$4:$M$15,5,FALSE)</f>
        <v>276.88</v>
      </c>
      <c r="AW12" s="77"/>
      <c r="AX12" s="85"/>
      <c r="AY12" s="77"/>
      <c r="AZ12" s="85"/>
      <c r="BA12" s="85"/>
      <c r="BB12" s="85"/>
      <c r="BC12" s="85"/>
      <c r="BD12" s="85"/>
      <c r="BE12" s="85"/>
      <c r="BF12" s="85"/>
      <c r="BG12" s="85"/>
      <c r="BH12" s="85"/>
      <c r="BI12" s="85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5481.2889999999998</v>
      </c>
      <c r="F13" s="28">
        <v>5781.174</v>
      </c>
      <c r="G13" s="28">
        <v>5039.2160000000003</v>
      </c>
      <c r="H13" s="28">
        <v>5428.4449999999997</v>
      </c>
      <c r="I13" s="28">
        <v>5489.6809999999996</v>
      </c>
      <c r="J13" s="28"/>
      <c r="K13" s="28"/>
      <c r="L13" s="28"/>
      <c r="M13" s="28"/>
      <c r="N13" s="29">
        <f t="shared" si="0"/>
        <v>43740.261999999995</v>
      </c>
      <c r="P13" s="34"/>
      <c r="Q13" s="34"/>
      <c r="R13" s="47"/>
      <c r="AS13" s="32"/>
      <c r="AT13" s="74"/>
      <c r="AU13" s="75" t="str">
        <f>A9</f>
        <v>APROVISIONAMIENTO DE PROD. INTERMEDIOS Y MAT. AUXILIARES</v>
      </c>
      <c r="AV13" s="76">
        <f>HLOOKUP(MAXA(B4:M4),$B$4:$M$15,6,FALSE)</f>
        <v>31.04000000000002</v>
      </c>
      <c r="AW13" s="74"/>
      <c r="AX13" s="32"/>
      <c r="AY13" s="74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103.84400000000005</v>
      </c>
      <c r="C14" s="28">
        <v>263.03199999999924</v>
      </c>
      <c r="D14" s="28">
        <v>95.601000000001477</v>
      </c>
      <c r="E14" s="28">
        <v>218.8100000000004</v>
      </c>
      <c r="F14" s="28">
        <v>156.52600000000075</v>
      </c>
      <c r="G14" s="28">
        <v>70.106000000000677</v>
      </c>
      <c r="H14" s="28">
        <v>58.321000000000822</v>
      </c>
      <c r="I14" s="46">
        <v>75.86200000000008</v>
      </c>
      <c r="J14" s="28"/>
      <c r="K14" s="28"/>
      <c r="L14" s="28"/>
      <c r="M14" s="28"/>
      <c r="N14" s="29">
        <f t="shared" si="0"/>
        <v>1042.1020000000035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4"/>
      <c r="AU14" s="75" t="str">
        <f>A10</f>
        <v>PRODUCTOS TRASPASADOS Y BACKFLOWS</v>
      </c>
      <c r="AV14" s="76">
        <f>HLOOKUP(MAXA(B4:M4),$B$4:$M$15,7,FALSE)</f>
        <v>19.875</v>
      </c>
      <c r="AW14" s="74"/>
      <c r="AX14" s="32"/>
      <c r="AY14" s="74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5627.2970000000005</v>
      </c>
      <c r="C15" s="24">
        <v>5219.4040000000005</v>
      </c>
      <c r="D15" s="24">
        <v>5229.4089999999997</v>
      </c>
      <c r="E15" s="24">
        <v>5268.62</v>
      </c>
      <c r="F15" s="24">
        <v>5632.6569999999992</v>
      </c>
      <c r="G15" s="24">
        <v>5001.5909999999994</v>
      </c>
      <c r="H15" s="24">
        <v>5539.1399999999994</v>
      </c>
      <c r="I15" s="24">
        <v>5496.3909999999996</v>
      </c>
      <c r="J15" s="24"/>
      <c r="K15" s="24"/>
      <c r="L15" s="24"/>
      <c r="M15" s="24"/>
      <c r="N15" s="25">
        <f t="shared" si="0"/>
        <v>43014.509000000005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4"/>
      <c r="AU15" s="75" t="str">
        <f>A11</f>
        <v>CONSUMO DIRECTO DE CRUDO</v>
      </c>
      <c r="AV15" s="76">
        <f>HLOOKUP(MAXA(B4:M4),$B$4:$M$15,8,FALSE)</f>
        <v>0</v>
      </c>
      <c r="AW15" s="74"/>
      <c r="AY15" s="74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>
        <v>180.49600000000001</v>
      </c>
      <c r="G16" s="2">
        <v>173.89400000000001</v>
      </c>
      <c r="H16" s="2">
        <v>187.74799999999999</v>
      </c>
      <c r="I16" s="2">
        <v>182.61799999999999</v>
      </c>
      <c r="J16" s="2"/>
      <c r="K16" s="2"/>
      <c r="L16" s="2"/>
      <c r="M16" s="2"/>
      <c r="N16" s="4">
        <f t="shared" si="0"/>
        <v>1379.662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/>
      <c r="K17" s="2"/>
      <c r="L17" s="2"/>
      <c r="M17" s="2"/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79" t="str">
        <f>A16</f>
        <v>Gas Refinería</v>
      </c>
      <c r="AV17" s="80">
        <f>HLOOKUP(MAXA(B4:M4),$B$4:$M$49,13,FALSE)</f>
        <v>182.61799999999999</v>
      </c>
      <c r="AW17" s="80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>
        <v>86.576999999999998</v>
      </c>
      <c r="G18" s="2">
        <v>74.088999999999999</v>
      </c>
      <c r="H18" s="2">
        <v>93.162000000000006</v>
      </c>
      <c r="I18" s="2">
        <v>83.454999999999998</v>
      </c>
      <c r="J18" s="2"/>
      <c r="K18" s="2"/>
      <c r="L18" s="2"/>
      <c r="M18" s="2"/>
      <c r="N18" s="4">
        <f t="shared" si="0"/>
        <v>728.44900000000007</v>
      </c>
      <c r="AU18" s="79" t="str">
        <f t="shared" ref="AU18:AU50" si="1">A17</f>
        <v>Etano</v>
      </c>
      <c r="AV18" s="80">
        <f>HLOOKUP(MAXA(B4:M4),$B$4:$M$49,14,FALSE)</f>
        <v>0</v>
      </c>
      <c r="AW18" s="80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>
        <v>0</v>
      </c>
      <c r="G19" s="2">
        <v>0.72100000000000364</v>
      </c>
      <c r="H19" s="2">
        <v>18.49799999999999</v>
      </c>
      <c r="I19" s="2">
        <v>0.9620000000000033</v>
      </c>
      <c r="J19" s="2"/>
      <c r="K19" s="2"/>
      <c r="L19" s="2"/>
      <c r="M19" s="2"/>
      <c r="N19" s="4">
        <f t="shared" si="0"/>
        <v>72.972999999999985</v>
      </c>
      <c r="AU19" s="79" t="str">
        <f t="shared" si="1"/>
        <v>Butano</v>
      </c>
      <c r="AV19" s="80">
        <f>HLOOKUP(MAXA(B4:M4),$B$4:$M$49,15,FALSE)</f>
        <v>83.454999999999998</v>
      </c>
      <c r="AW19" s="80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>
        <v>162.30500000000001</v>
      </c>
      <c r="G20" s="2">
        <v>137.31100000000001</v>
      </c>
      <c r="H20" s="2">
        <v>142.62</v>
      </c>
      <c r="I20" s="2">
        <v>164.34399999999999</v>
      </c>
      <c r="J20" s="2"/>
      <c r="K20" s="2"/>
      <c r="L20" s="2"/>
      <c r="M20" s="2"/>
      <c r="N20" s="4">
        <f t="shared" si="0"/>
        <v>1187.3120000000001</v>
      </c>
      <c r="AU20" s="79" t="str">
        <f t="shared" si="1"/>
        <v>Propano</v>
      </c>
      <c r="AV20" s="80">
        <f>HLOOKUP(MAXA(B4:M4),$B$4:$M$49,16,FALSE)</f>
        <v>0.9620000000000033</v>
      </c>
      <c r="AW20" s="80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/>
      <c r="K21" s="2"/>
      <c r="L21" s="2"/>
      <c r="M21" s="2"/>
      <c r="N21" s="4">
        <f t="shared" si="0"/>
        <v>0</v>
      </c>
      <c r="AU21" s="79" t="str">
        <f t="shared" si="1"/>
        <v>Nafta</v>
      </c>
      <c r="AV21" s="80">
        <f>HLOOKUP(MAXA(B4:M4),$B$4:$M$49,17,FALSE)</f>
        <v>164.34399999999999</v>
      </c>
      <c r="AW21" s="80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>
        <v>104.72499999999999</v>
      </c>
      <c r="G22" s="2">
        <v>95.748999999999995</v>
      </c>
      <c r="H22" s="2">
        <v>79.078999999999994</v>
      </c>
      <c r="I22" s="2">
        <v>65.63</v>
      </c>
      <c r="J22" s="2"/>
      <c r="K22" s="2"/>
      <c r="L22" s="2"/>
      <c r="M22" s="2"/>
      <c r="N22" s="4">
        <f t="shared" si="0"/>
        <v>759.68399999999997</v>
      </c>
      <c r="AU22" s="79" t="str">
        <f t="shared" si="1"/>
        <v>Gasolina 97 I.O.</v>
      </c>
      <c r="AV22" s="80">
        <f>HLOOKUP(MAXA(B4:M4),$B$4:$M$49,18,FALSE)</f>
        <v>0</v>
      </c>
      <c r="AW22" s="80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>
        <v>13.742000000000001</v>
      </c>
      <c r="G23" s="2">
        <v>10.093999999999999</v>
      </c>
      <c r="H23" s="2">
        <v>7.5359999999999996</v>
      </c>
      <c r="I23" s="2">
        <v>4.6150000000000002</v>
      </c>
      <c r="J23" s="2"/>
      <c r="K23" s="2"/>
      <c r="L23" s="2"/>
      <c r="M23" s="2"/>
      <c r="N23" s="4">
        <f t="shared" si="0"/>
        <v>66.299000000000007</v>
      </c>
      <c r="AU23" s="79" t="str">
        <f t="shared" si="1"/>
        <v>Gasolina 95 I.O.</v>
      </c>
      <c r="AV23" s="80">
        <f>HLOOKUP(MAXA(B4:M4),$B$4:$M$49,19,FALSE)</f>
        <v>65.63</v>
      </c>
      <c r="AW23" s="80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/>
      <c r="K24" s="2"/>
      <c r="L24" s="2"/>
      <c r="M24" s="2"/>
      <c r="N24" s="4">
        <f t="shared" si="0"/>
        <v>0</v>
      </c>
      <c r="AU24" s="79" t="str">
        <f t="shared" si="1"/>
        <v>Gasolina 98 I.O.</v>
      </c>
      <c r="AV24" s="80">
        <f>HLOOKUP(MAXA(B4:M4),$B$4:$M$49,20,FALSE)</f>
        <v>4.6150000000000002</v>
      </c>
      <c r="AW24" s="80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>
        <v>757.63400000000001</v>
      </c>
      <c r="G25" s="2">
        <v>648.99199999999996</v>
      </c>
      <c r="H25" s="2">
        <v>799.53599999999994</v>
      </c>
      <c r="I25" s="2">
        <v>803.70100000000002</v>
      </c>
      <c r="J25" s="2"/>
      <c r="K25" s="2"/>
      <c r="L25" s="2"/>
      <c r="M25" s="2"/>
      <c r="N25" s="4">
        <f t="shared" si="0"/>
        <v>5725.1900000000005</v>
      </c>
      <c r="AU25" s="79" t="str">
        <f t="shared" si="1"/>
        <v>Gasolina de Aviación</v>
      </c>
      <c r="AV25" s="80">
        <f>HLOOKUP(MAXA(B4:M4),$B$4:$M$49,21,FALSE)</f>
        <v>0</v>
      </c>
      <c r="AW25" s="80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/>
      <c r="K26" s="2"/>
      <c r="L26" s="2"/>
      <c r="M26" s="2"/>
      <c r="N26" s="4">
        <f t="shared" si="0"/>
        <v>0</v>
      </c>
      <c r="AU26" s="79" t="str">
        <f t="shared" si="1"/>
        <v>Otras Gasolinas</v>
      </c>
      <c r="AV26" s="80">
        <f>HLOOKUP(MAXA(B4:M4),$B$4:$M$49,22,FALSE)</f>
        <v>803.70100000000002</v>
      </c>
      <c r="AW26" s="80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/>
      <c r="K27" s="2"/>
      <c r="L27" s="2"/>
      <c r="M27" s="2"/>
      <c r="N27" s="4">
        <f t="shared" si="0"/>
        <v>0</v>
      </c>
      <c r="AU27" s="79" t="str">
        <f t="shared" si="1"/>
        <v>Bioetanol</v>
      </c>
      <c r="AV27" s="80">
        <f>HLOOKUP(MAXA(B4:M4),$B$4:$M$49,23,FALSE)</f>
        <v>0</v>
      </c>
      <c r="AW27" s="80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>
        <v>40.094000000000001</v>
      </c>
      <c r="G28" s="2">
        <v>36.81</v>
      </c>
      <c r="H28" s="2">
        <v>38.354999999999997</v>
      </c>
      <c r="I28" s="2">
        <v>34.292000000000002</v>
      </c>
      <c r="J28" s="2"/>
      <c r="K28" s="2"/>
      <c r="L28" s="2"/>
      <c r="M28" s="2"/>
      <c r="N28" s="4">
        <f t="shared" si="0"/>
        <v>335.40200000000004</v>
      </c>
      <c r="AU28" s="79" t="str">
        <f t="shared" si="1"/>
        <v>Gasolinas Mezcla</v>
      </c>
      <c r="AV28" s="80">
        <f>HLOOKUP(MAXA(B4:M4),$B$4:$M$49,24,FALSE)</f>
        <v>0</v>
      </c>
      <c r="AW28" s="80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/>
      <c r="K29" s="2"/>
      <c r="L29" s="2"/>
      <c r="M29" s="2"/>
      <c r="N29" s="4">
        <f t="shared" si="0"/>
        <v>0</v>
      </c>
      <c r="AU29" s="79" t="str">
        <f t="shared" si="1"/>
        <v>Queroseno aviac. Jet A1</v>
      </c>
      <c r="AV29" s="80">
        <f>HLOOKUP(MAXA(B4:M4),$B$4:$M$49,25,FALSE)</f>
        <v>34.292000000000002</v>
      </c>
      <c r="AW29" s="80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>
        <v>891.09799999999996</v>
      </c>
      <c r="G30" s="2">
        <v>794.64599999999996</v>
      </c>
      <c r="H30" s="2">
        <v>865.64800000000002</v>
      </c>
      <c r="I30" s="2">
        <v>851.59699999999998</v>
      </c>
      <c r="J30" s="2"/>
      <c r="K30" s="2"/>
      <c r="L30" s="2"/>
      <c r="M30" s="2"/>
      <c r="N30" s="4">
        <f t="shared" si="0"/>
        <v>6714.3629999999994</v>
      </c>
      <c r="AU30" s="79" t="str">
        <f t="shared" si="1"/>
        <v>Queroseno aviac. Jet A2</v>
      </c>
      <c r="AV30" s="80">
        <f>HLOOKUP(MAXA(B4:M4),$B$4:$M$49,26,FALSE)</f>
        <v>0</v>
      </c>
      <c r="AW30" s="80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/>
      <c r="K31" s="2"/>
      <c r="L31" s="2"/>
      <c r="M31" s="2"/>
      <c r="N31" s="4">
        <f t="shared" si="0"/>
        <v>0</v>
      </c>
      <c r="AU31" s="79" t="str">
        <f t="shared" si="1"/>
        <v>Otros Querosenos</v>
      </c>
      <c r="AV31" s="80">
        <f>HLOOKUP(MAXA(B4:M4),$B$4:$M$49,27,FALSE)</f>
        <v>851.59699999999998</v>
      </c>
      <c r="AW31" s="80"/>
    </row>
    <row r="32" spans="1:49" ht="16.5" customHeight="1" x14ac:dyDescent="0.2">
      <c r="A32" s="9" t="s">
        <v>30</v>
      </c>
      <c r="B32" s="3">
        <v>254.19</v>
      </c>
      <c r="C32" s="2">
        <v>218.411</v>
      </c>
      <c r="D32" s="2">
        <v>292.517</v>
      </c>
      <c r="E32" s="2">
        <v>271.846</v>
      </c>
      <c r="F32" s="2">
        <v>268.11700000000002</v>
      </c>
      <c r="G32" s="2">
        <v>189.79</v>
      </c>
      <c r="H32" s="2">
        <v>250.96199999999999</v>
      </c>
      <c r="I32" s="2">
        <v>263.01499999999999</v>
      </c>
      <c r="J32" s="2"/>
      <c r="K32" s="2"/>
      <c r="L32" s="2"/>
      <c r="M32" s="2"/>
      <c r="N32" s="4">
        <f t="shared" si="0"/>
        <v>2008.848</v>
      </c>
      <c r="AU32" s="79" t="str">
        <f t="shared" si="1"/>
        <v>Gasóleo A</v>
      </c>
      <c r="AV32" s="80">
        <f>HLOOKUP(MAXA(B4:M4),$B$4:$M$49,28,FALSE)</f>
        <v>0</v>
      </c>
      <c r="AW32" s="80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>
        <v>34.960999999999999</v>
      </c>
      <c r="G33" s="2">
        <v>22.378</v>
      </c>
      <c r="H33" s="2">
        <v>28.337</v>
      </c>
      <c r="I33" s="2">
        <v>19.952000000000002</v>
      </c>
      <c r="J33" s="2"/>
      <c r="K33" s="2"/>
      <c r="L33" s="2"/>
      <c r="M33" s="2"/>
      <c r="N33" s="4">
        <f t="shared" si="0"/>
        <v>239.12199999999996</v>
      </c>
      <c r="AU33" s="79" t="str">
        <f t="shared" si="1"/>
        <v>Gasóleo A 10 PPM</v>
      </c>
      <c r="AV33" s="80">
        <f>HLOOKUP(MAXA(B4:M4),$B$4:$M$49,29,FALSE)</f>
        <v>263.01499999999999</v>
      </c>
      <c r="AW33" s="80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>
        <v>7.3479999999999999</v>
      </c>
      <c r="G34" s="2">
        <v>4.2850000000000001</v>
      </c>
      <c r="H34" s="2">
        <v>3.3490000000000002</v>
      </c>
      <c r="I34" s="2">
        <v>2.9279999999999999</v>
      </c>
      <c r="J34" s="2"/>
      <c r="K34" s="2"/>
      <c r="L34" s="2"/>
      <c r="M34" s="2"/>
      <c r="N34" s="4">
        <f t="shared" si="0"/>
        <v>64.849999999999994</v>
      </c>
      <c r="AU34" s="79" t="str">
        <f t="shared" si="1"/>
        <v>Gasóleo B</v>
      </c>
      <c r="AV34" s="80">
        <f>HLOOKUP(MAXA(B4:M4),$B$4:$M$49,30,FALSE)</f>
        <v>19.952000000000002</v>
      </c>
      <c r="AW34" s="80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>
        <v>24.413</v>
      </c>
      <c r="G35" s="2">
        <v>31.623000000000001</v>
      </c>
      <c r="H35" s="2">
        <v>46.93</v>
      </c>
      <c r="I35" s="2">
        <v>55.896999999999998</v>
      </c>
      <c r="J35" s="2"/>
      <c r="K35" s="2"/>
      <c r="L35" s="2"/>
      <c r="M35" s="2"/>
      <c r="N35" s="4">
        <f t="shared" si="0"/>
        <v>399.37299999999999</v>
      </c>
      <c r="AU35" s="79" t="str">
        <f t="shared" si="1"/>
        <v>Gasóleo C</v>
      </c>
      <c r="AV35" s="80">
        <f>HLOOKUP(MAXA(B4:M4),$B$4:$M$49,31,FALSE)</f>
        <v>2.9279999999999999</v>
      </c>
      <c r="AW35" s="80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/>
      <c r="K36" s="2"/>
      <c r="L36" s="2"/>
      <c r="M36" s="2"/>
      <c r="N36" s="4">
        <f t="shared" si="0"/>
        <v>0</v>
      </c>
      <c r="AU36" s="79" t="str">
        <f t="shared" si="1"/>
        <v>Gasóleo para uso marítimo</v>
      </c>
      <c r="AV36" s="80">
        <f>HLOOKUP(MAXA(B4:M4),$B$4:$M$49,32,FALSE)</f>
        <v>55.896999999999998</v>
      </c>
      <c r="AW36" s="80"/>
    </row>
    <row r="37" spans="1:49" ht="16.5" customHeight="1" x14ac:dyDescent="0.2">
      <c r="A37" s="9" t="s">
        <v>35</v>
      </c>
      <c r="B37" s="3">
        <v>1932.47</v>
      </c>
      <c r="C37" s="2">
        <v>1785.873</v>
      </c>
      <c r="D37" s="2">
        <v>1766.7179999999998</v>
      </c>
      <c r="E37" s="2">
        <v>1751.6610000000001</v>
      </c>
      <c r="F37" s="2">
        <v>1896.3790000000001</v>
      </c>
      <c r="G37" s="2">
        <v>1689.8719999999998</v>
      </c>
      <c r="H37" s="2">
        <v>1784.0399999999997</v>
      </c>
      <c r="I37" s="2">
        <v>1765.0219999999999</v>
      </c>
      <c r="J37" s="2"/>
      <c r="K37" s="2"/>
      <c r="L37" s="2"/>
      <c r="M37" s="2"/>
      <c r="N37" s="4">
        <f t="shared" si="0"/>
        <v>14372.035</v>
      </c>
      <c r="AU37" s="79" t="str">
        <f t="shared" si="1"/>
        <v>Diésel para uso marítimo</v>
      </c>
      <c r="AV37" s="80">
        <f>HLOOKUP(MAXA(B4:M4),$B$4:$M$49,33,FALSE)</f>
        <v>0</v>
      </c>
      <c r="AW37" s="80"/>
    </row>
    <row r="38" spans="1:49" ht="16.5" customHeight="1" x14ac:dyDescent="0.2">
      <c r="A38" s="9" t="s">
        <v>36</v>
      </c>
      <c r="B38" s="3">
        <v>0</v>
      </c>
      <c r="C38" s="2">
        <v>7.27</v>
      </c>
      <c r="D38" s="2">
        <v>18.771000000000001</v>
      </c>
      <c r="E38" s="2">
        <v>22.597000000000001</v>
      </c>
      <c r="F38" s="2">
        <v>42.872</v>
      </c>
      <c r="G38" s="2">
        <v>37.173000000000002</v>
      </c>
      <c r="H38" s="2">
        <v>38.064</v>
      </c>
      <c r="I38" s="2">
        <v>40.027000000000001</v>
      </c>
      <c r="J38" s="2"/>
      <c r="K38" s="2"/>
      <c r="L38" s="2"/>
      <c r="M38" s="2"/>
      <c r="N38" s="4">
        <f t="shared" si="0"/>
        <v>206.774</v>
      </c>
      <c r="AU38" s="79" t="str">
        <f t="shared" si="1"/>
        <v>Otros Gasóleos</v>
      </c>
      <c r="AV38" s="80">
        <f>HLOOKUP(MAXA(B4:M4),$B$4:$M$49,34,FALSE)</f>
        <v>1765.0219999999999</v>
      </c>
      <c r="AW38" s="80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17.826000000000001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/>
      <c r="K39" s="2"/>
      <c r="L39" s="2"/>
      <c r="M39" s="2"/>
      <c r="N39" s="4">
        <f t="shared" si="0"/>
        <v>17.826000000000001</v>
      </c>
      <c r="AU39" s="79" t="str">
        <f t="shared" si="1"/>
        <v>Biodiesel</v>
      </c>
      <c r="AV39" s="80">
        <f>HLOOKUP(MAXA(B4:M4),$B$4:$M$49,35,FALSE)</f>
        <v>40.027000000000001</v>
      </c>
      <c r="AW39" s="80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/>
      <c r="K40" s="2"/>
      <c r="L40" s="2"/>
      <c r="M40" s="2"/>
      <c r="N40" s="4">
        <f t="shared" si="0"/>
        <v>0</v>
      </c>
      <c r="AU40" s="79" t="str">
        <f t="shared" si="1"/>
        <v>Biodiesel Mezcla</v>
      </c>
      <c r="AV40" s="80">
        <f>HLOOKUP(MAXA(B4:M4),$B$4:$M$49,36,FALSE)</f>
        <v>0</v>
      </c>
      <c r="AW40" s="80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>
        <v>1.3049999999999999</v>
      </c>
      <c r="G41" s="2">
        <v>0.7</v>
      </c>
      <c r="H41" s="2">
        <v>0.152</v>
      </c>
      <c r="I41" s="2">
        <v>0</v>
      </c>
      <c r="J41" s="2"/>
      <c r="K41" s="2"/>
      <c r="L41" s="2"/>
      <c r="M41" s="2"/>
      <c r="N41" s="4">
        <f t="shared" si="0"/>
        <v>5.7890000000000006</v>
      </c>
      <c r="AU41" s="79" t="str">
        <f t="shared" si="1"/>
        <v>Fuelóleo BIA</v>
      </c>
      <c r="AV41" s="80">
        <f>HLOOKUP(MAXA(B4:M4),$B$4:$M$49,37,FALSE)</f>
        <v>0</v>
      </c>
      <c r="AW41" s="80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/>
      <c r="K42" s="2"/>
      <c r="L42" s="2"/>
      <c r="M42" s="2"/>
      <c r="N42" s="4">
        <f t="shared" si="0"/>
        <v>0</v>
      </c>
      <c r="AU42" s="79" t="str">
        <f t="shared" si="1"/>
        <v>Fuelóleo de refineria</v>
      </c>
      <c r="AV42" s="80">
        <f>HLOOKUP(MAXA(B4:M4),$B$4:$M$49,38,FALSE)</f>
        <v>0</v>
      </c>
      <c r="AW42" s="80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>
        <v>451.53199999999998</v>
      </c>
      <c r="G43" s="2">
        <v>425.28399999999999</v>
      </c>
      <c r="H43" s="2">
        <v>416.22699999999998</v>
      </c>
      <c r="I43" s="2">
        <v>384.89699999999999</v>
      </c>
      <c r="J43" s="2"/>
      <c r="K43" s="2"/>
      <c r="L43" s="2"/>
      <c r="M43" s="2"/>
      <c r="N43" s="4">
        <f t="shared" si="0"/>
        <v>3297.2820000000002</v>
      </c>
      <c r="AU43" s="79" t="str">
        <f t="shared" si="1"/>
        <v>Otros combustibles para uso marítimo</v>
      </c>
      <c r="AV43" s="80">
        <f>HLOOKUP(MAXA(B4:M4),$B$4:$M$49,39,FALSE)</f>
        <v>0</v>
      </c>
      <c r="AW43" s="80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>
        <v>21.446000000000002</v>
      </c>
      <c r="G44" s="2">
        <v>19.661000000000001</v>
      </c>
      <c r="H44" s="2">
        <v>29.905000000000001</v>
      </c>
      <c r="I44" s="2">
        <v>26.986000000000001</v>
      </c>
      <c r="J44" s="2"/>
      <c r="K44" s="2"/>
      <c r="L44" s="2"/>
      <c r="M44" s="2"/>
      <c r="N44" s="4">
        <f t="shared" si="0"/>
        <v>196.17399999999998</v>
      </c>
      <c r="AU44" s="79" t="str">
        <f t="shared" si="1"/>
        <v>Otros Fuelóleos</v>
      </c>
      <c r="AV44" s="80">
        <f>HLOOKUP(MAXA(B4:M4),$B$4:$M$49,40,FALSE)</f>
        <v>384.89699999999999</v>
      </c>
      <c r="AW44" s="80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>
        <v>163.62700000000001</v>
      </c>
      <c r="E45" s="2">
        <v>177.46</v>
      </c>
      <c r="F45" s="2">
        <v>137.023</v>
      </c>
      <c r="G45" s="2">
        <v>156.24799999999999</v>
      </c>
      <c r="H45" s="2">
        <v>175.59800000000001</v>
      </c>
      <c r="I45" s="2">
        <v>174.352</v>
      </c>
      <c r="J45" s="2"/>
      <c r="K45" s="2"/>
      <c r="L45" s="2"/>
      <c r="M45" s="2"/>
      <c r="N45" s="4">
        <f t="shared" si="0"/>
        <v>1243.3910000000001</v>
      </c>
      <c r="AU45" s="79" t="str">
        <f t="shared" si="1"/>
        <v>Aceites y bases lubricantes</v>
      </c>
      <c r="AV45" s="80">
        <f>HLOOKUP(MAXA(B4:M4),$B$4:$M$49,41,FALSE)</f>
        <v>26.986000000000001</v>
      </c>
      <c r="AW45" s="80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>
        <v>10.715</v>
      </c>
      <c r="G46" s="2">
        <v>10.055999999999999</v>
      </c>
      <c r="H46" s="2">
        <v>11.307</v>
      </c>
      <c r="I46" s="2">
        <v>9.4489999999999998</v>
      </c>
      <c r="J46" s="2"/>
      <c r="K46" s="2"/>
      <c r="L46" s="2"/>
      <c r="M46" s="2"/>
      <c r="N46" s="4">
        <f t="shared" si="0"/>
        <v>85.957999999999998</v>
      </c>
      <c r="AU46" s="79" t="str">
        <f t="shared" si="1"/>
        <v>Productos asfálticos</v>
      </c>
      <c r="AV46" s="80">
        <f>HLOOKUP(MAXA(B4:M4),$B$4:$M$49,42,FALSE)</f>
        <v>174.352</v>
      </c>
      <c r="AW46" s="80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>
        <v>6.9459999999999997</v>
      </c>
      <c r="G47" s="2">
        <v>6.45</v>
      </c>
      <c r="H47" s="2">
        <v>6.3410000000000002</v>
      </c>
      <c r="I47" s="2">
        <v>5.8310000000000004</v>
      </c>
      <c r="J47" s="2"/>
      <c r="K47" s="2"/>
      <c r="L47" s="2"/>
      <c r="M47" s="2"/>
      <c r="N47" s="4">
        <f t="shared" si="0"/>
        <v>51.707000000000008</v>
      </c>
      <c r="AU47" s="79" t="str">
        <f t="shared" si="1"/>
        <v>Disolventes</v>
      </c>
      <c r="AV47" s="80">
        <f>HLOOKUP(MAXA(B4:M4),$B$4:$M$49,43,FALSE)</f>
        <v>9.4489999999999998</v>
      </c>
      <c r="AW47" s="80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>
        <v>280.86399999999998</v>
      </c>
      <c r="G48" s="2">
        <v>274.50299999999999</v>
      </c>
      <c r="H48" s="2">
        <v>303.47500000000002</v>
      </c>
      <c r="I48" s="2">
        <v>301.76100000000002</v>
      </c>
      <c r="J48" s="2"/>
      <c r="K48" s="2"/>
      <c r="L48" s="2"/>
      <c r="M48" s="2"/>
      <c r="N48" s="4">
        <f t="shared" si="0"/>
        <v>2304.029</v>
      </c>
      <c r="AU48" s="79" t="str">
        <f t="shared" si="1"/>
        <v>Parafinas</v>
      </c>
      <c r="AV48" s="80">
        <f>HLOOKUP(MAXA(B4:M4),$B$4:$M$49,44,FALSE)</f>
        <v>5.8310000000000004</v>
      </c>
      <c r="AW48" s="80"/>
    </row>
    <row r="49" spans="1:49" ht="18" customHeight="1" x14ac:dyDescent="0.2">
      <c r="A49" s="10" t="s">
        <v>52</v>
      </c>
      <c r="B49" s="7">
        <v>178.72899999999998</v>
      </c>
      <c r="C49" s="5">
        <v>231.23899999999867</v>
      </c>
      <c r="D49" s="5">
        <v>123.14199999999997</v>
      </c>
      <c r="E49" s="5">
        <v>178.24900000000071</v>
      </c>
      <c r="F49" s="5">
        <v>212.06499999999869</v>
      </c>
      <c r="G49" s="5">
        <v>161.26200000000154</v>
      </c>
      <c r="H49" s="5">
        <v>212.27100000000002</v>
      </c>
      <c r="I49" s="5">
        <v>255.05999999999949</v>
      </c>
      <c r="J49" s="5"/>
      <c r="K49" s="5"/>
      <c r="L49" s="5"/>
      <c r="M49" s="5"/>
      <c r="N49" s="6">
        <f t="shared" si="0"/>
        <v>1552.0169999999991</v>
      </c>
      <c r="AU49" s="79" t="str">
        <f t="shared" si="1"/>
        <v>Coque de petróleo</v>
      </c>
      <c r="AV49" s="80">
        <f>HLOOKUP(MAXA(B4:M4),$B$4:$M$49,45,FALSE)</f>
        <v>301.76100000000002</v>
      </c>
      <c r="AW49" s="80"/>
    </row>
    <row r="50" spans="1:49" x14ac:dyDescent="0.2">
      <c r="F50" s="41"/>
      <c r="AU50" s="79" t="str">
        <f t="shared" si="1"/>
        <v>Otros Productos</v>
      </c>
      <c r="AV50" s="80">
        <f>HLOOKUP(MAXA(B4:M4),$B$4:$M$49,46,FALSE)</f>
        <v>255.05999999999949</v>
      </c>
      <c r="AW50" s="80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1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showGridLines="0" zoomScale="70" zoomScaleNormal="70" workbookViewId="0">
      <selection activeCell="AD36" sqref="AD36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89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showGridLines="0"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zoomScale="85" zoomScaleNormal="85" workbookViewId="0">
      <pane xSplit="1" topLeftCell="B1" activePane="topRight" state="frozen"/>
      <selection activeCell="A42" sqref="A42"/>
      <selection pane="top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2024-10-15T06:54:57Z</dcterms:modified>
</cp:coreProperties>
</file>