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1565" windowHeight="3975" tabRatio="785" firstSheet="2" activeTab="10"/>
  </bookViews>
  <sheets>
    <sheet name="31PP" sheetId="1" r:id="rId1"/>
    <sheet name="32PMC" sheetId="2" r:id="rId2"/>
    <sheet name="33PAC" sheetId="3" r:id="rId3"/>
    <sheet name="34PG" sheetId="4" r:id="rId4"/>
    <sheet name="35PMG" sheetId="5" r:id="rId5"/>
    <sheet name="36SPPG" sheetId="6" r:id="rId6"/>
    <sheet name="37SPPGI" sheetId="7" r:id="rId7"/>
    <sheet name="38ASG" sheetId="8" r:id="rId8"/>
    <sheet name="39PAP" sheetId="9" r:id="rId9"/>
    <sheet name="310PAG " sheetId="10" r:id="rId10"/>
    <sheet name="311PAGyP " sheetId="11" r:id="rId11"/>
    <sheet name="312CP " sheetId="12" r:id="rId12"/>
  </sheets>
  <definedNames>
    <definedName name="_xlnm.Print_Area" localSheetId="0">'31PP'!$A$1:$J$61</definedName>
    <definedName name="_xlnm.Print_Area" localSheetId="1">'32PMC'!$A$2:$M$44</definedName>
    <definedName name="_xlnm.Print_Area" localSheetId="2">'33PAC'!$A$1:$I$24</definedName>
    <definedName name="_xlnm.Print_Area" localSheetId="3">'34PG'!$A$2:$M$38</definedName>
    <definedName name="_xlnm.Print_Area" localSheetId="4">'35PMG'!$B$1:$H$61</definedName>
    <definedName name="_xlnm.Print_Area" localSheetId="5">'36SPPG'!$A$1:$L$55</definedName>
    <definedName name="_xlnm.Print_Area" localSheetId="6">'37SPPGI'!$A$1:$H$32</definedName>
    <definedName name="_xlnm.Print_Area" localSheetId="7">'38ASG'!$A$1:$H$51</definedName>
  </definedNames>
  <calcPr fullCalcOnLoad="1"/>
</workbook>
</file>

<file path=xl/sharedStrings.xml><?xml version="1.0" encoding="utf-8"?>
<sst xmlns="http://schemas.openxmlformats.org/spreadsheetml/2006/main" count="1077" uniqueCount="179">
  <si>
    <t>CUMULATED PRODUCTION</t>
  </si>
  <si>
    <t>CONCESIONES/</t>
  </si>
  <si>
    <t>OPERADOR/</t>
  </si>
  <si>
    <t>CONCESSIONS</t>
  </si>
  <si>
    <t>OPERATOR</t>
  </si>
  <si>
    <t>LORA</t>
  </si>
  <si>
    <t>RIPSA</t>
  </si>
  <si>
    <t>UNITIZACION</t>
  </si>
  <si>
    <t>CASABLANCA-</t>
  </si>
  <si>
    <t>MONTANAZO D</t>
  </si>
  <si>
    <t>ALBATROS</t>
  </si>
  <si>
    <t>RODABALLO</t>
  </si>
  <si>
    <t>ANGULA-</t>
  </si>
  <si>
    <t>CASABLANCA</t>
  </si>
  <si>
    <t>TOTAL</t>
  </si>
  <si>
    <t>-</t>
  </si>
  <si>
    <t>CASABLANCA-MONTANAZO D</t>
  </si>
  <si>
    <t>ANGULA-CASABLANCA</t>
  </si>
  <si>
    <t>MES/MONTH</t>
  </si>
  <si>
    <t>Bbl.</t>
  </si>
  <si>
    <t>ENERO/JANUARY</t>
  </si>
  <si>
    <t>FEBRERO/FEBRUARY</t>
  </si>
  <si>
    <t>MARZO/MARCH</t>
  </si>
  <si>
    <t>ABRIL/APRIL</t>
  </si>
  <si>
    <t>MAYO/MAY</t>
  </si>
  <si>
    <t>JUNIO/JUNE</t>
  </si>
  <si>
    <t>JULIO/JULY</t>
  </si>
  <si>
    <t>AGOSTO/AUGUST</t>
  </si>
  <si>
    <t>SEPTIEMBRE/SEPTEMBER</t>
  </si>
  <si>
    <t>OCTUBRE/OCTOBER</t>
  </si>
  <si>
    <t>NOVIEMBRE/NOVEMBER</t>
  </si>
  <si>
    <t>DICIEMBRE/DECEMBER</t>
  </si>
  <si>
    <t>%</t>
  </si>
  <si>
    <t>Th.</t>
  </si>
  <si>
    <t>T.E.P./O.E.T.</t>
  </si>
  <si>
    <t>OPERATORS</t>
  </si>
  <si>
    <t>MARISMAS</t>
  </si>
  <si>
    <r>
      <t>Nm</t>
    </r>
    <r>
      <rPr>
        <b/>
        <vertAlign val="superscript"/>
        <sz val="10"/>
        <color indexed="8"/>
        <rFont val="Arial"/>
        <family val="0"/>
      </rPr>
      <t>3</t>
    </r>
  </si>
  <si>
    <t>3.6</t>
  </si>
  <si>
    <t>TOTAL OIL AND GAS PRODUCTION IN ACTIVE FIELDS</t>
  </si>
  <si>
    <t>UNITIZACION CASABLANCA-MONTANAZO D</t>
  </si>
  <si>
    <t>ALBATROS (*)</t>
  </si>
  <si>
    <t>UNITIZACION ANGULA-CASABLANCA</t>
  </si>
  <si>
    <t>TOTAL (1)</t>
  </si>
  <si>
    <t>(*) EL GAS NATURAL EXPRESADO EN T.E.P. / NATURAL GAS IN O.E.T. (OIL EQUIVALENT TONNES).</t>
  </si>
  <si>
    <t>3.7</t>
  </si>
  <si>
    <t>CASTILLO (*)</t>
  </si>
  <si>
    <t>SAN CARLOS I y II</t>
  </si>
  <si>
    <t>TARRACO</t>
  </si>
  <si>
    <t>DORADA</t>
  </si>
  <si>
    <t>SERRABLO (*)</t>
  </si>
  <si>
    <t>SALMONETE</t>
  </si>
  <si>
    <t>GAVIOTA I y II (*)</t>
  </si>
  <si>
    <t>GAVIOTA I y II</t>
  </si>
  <si>
    <t>(*)</t>
  </si>
  <si>
    <t>EL GAS NATURAL EXPRESADO EN T.E.P. / NATURAL GAS IN O.E.T. (OIL EQUIVALENT TONNES)</t>
  </si>
  <si>
    <t>3.8</t>
  </si>
  <si>
    <t>SERRABLO</t>
  </si>
  <si>
    <t>ACUMULADO/CUMULATED</t>
  </si>
  <si>
    <t>INJECTION</t>
  </si>
  <si>
    <t>GAVIOTA</t>
  </si>
  <si>
    <t>3.9</t>
  </si>
  <si>
    <t>ANO/</t>
  </si>
  <si>
    <t>YEAR</t>
  </si>
  <si>
    <t>AMPOSTA</t>
  </si>
  <si>
    <t>ANGULA</t>
  </si>
  <si>
    <t>I y II</t>
  </si>
  <si>
    <t>3.10</t>
  </si>
  <si>
    <r>
      <t xml:space="preserve">    Miles de Nm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/ Thousand Nm</t>
    </r>
    <r>
      <rPr>
        <b/>
        <vertAlign val="superscript"/>
        <sz val="10"/>
        <color indexed="8"/>
        <rFont val="Arial"/>
        <family val="2"/>
      </rPr>
      <t>3</t>
    </r>
  </si>
  <si>
    <t>CASTILLO</t>
  </si>
  <si>
    <t>3.11</t>
  </si>
  <si>
    <t>GAS/GAS</t>
  </si>
  <si>
    <t>3.12</t>
  </si>
  <si>
    <t/>
  </si>
  <si>
    <t>CAMPO / FIELD</t>
  </si>
  <si>
    <t>%INC</t>
  </si>
  <si>
    <t>CRUDO / OIL</t>
  </si>
  <si>
    <t>AYOLUENGO</t>
  </si>
  <si>
    <t>SUBTOTAL</t>
  </si>
  <si>
    <t>GAS / GAS</t>
  </si>
  <si>
    <r>
      <t>Nm</t>
    </r>
    <r>
      <rPr>
        <b/>
        <vertAlign val="superscript"/>
        <sz val="10"/>
        <rFont val="Arial"/>
        <family val="2"/>
      </rPr>
      <t>3</t>
    </r>
  </si>
  <si>
    <t>EL RUEDO</t>
  </si>
  <si>
    <t>LAS BARRERAS</t>
  </si>
  <si>
    <t>NUELGAS</t>
  </si>
  <si>
    <t>LAS BARRERAS (*)</t>
  </si>
  <si>
    <t>LAS</t>
  </si>
  <si>
    <t>BARRERAS</t>
  </si>
  <si>
    <t>% (*)</t>
  </si>
  <si>
    <t>LORA              (1)</t>
  </si>
  <si>
    <t>UNITIZACION   (2)</t>
  </si>
  <si>
    <t>RODABALLO   (3)</t>
  </si>
  <si>
    <t>UNITIZACION   (4)</t>
  </si>
  <si>
    <t>(1)</t>
  </si>
  <si>
    <t>(2)</t>
  </si>
  <si>
    <t>(3)</t>
  </si>
  <si>
    <t>(4)</t>
  </si>
  <si>
    <t>Notas:</t>
  </si>
  <si>
    <t>Los datos reflejados en las concesiones referenciadas incluyen las producciones de las</t>
  </si>
  <si>
    <t>siguientes estructuras o campos de producción:</t>
  </si>
  <si>
    <t>Ayoluengo.</t>
  </si>
  <si>
    <t>Boquerón.</t>
  </si>
  <si>
    <t>Los datos reflejados en las concesiones referenciadas incluyen las siguientes producciones:</t>
  </si>
  <si>
    <t>LAS BARRERAS.</t>
  </si>
  <si>
    <t>EL RUEDO-1, EL RUEDO-2 y EL RUEDO-3.</t>
  </si>
  <si>
    <t>Las cantidades entre paréntesis significan disminución porcentual. /</t>
  </si>
  <si>
    <t>Rodaballo y Chipirón.</t>
  </si>
  <si>
    <t>NORTHERN</t>
  </si>
  <si>
    <t>datos para el grafico</t>
  </si>
  <si>
    <t>Casablanca y Barracuda.</t>
  </si>
  <si>
    <t>UNDERGROUND GAS STORAGE</t>
  </si>
  <si>
    <t>EMISSION</t>
  </si>
  <si>
    <t>ALMACENAMIENTOS SUBTERRÁNEOS DE GAS /</t>
  </si>
  <si>
    <t>INYECCIÓN/</t>
  </si>
  <si>
    <t>EMISIÓN/</t>
  </si>
  <si>
    <t>3.1  PRODUCCIÓN DE PETRÓLEO / OIL PRODUCTION</t>
  </si>
  <si>
    <t>PRODUCCIÓN ACUMULADA/</t>
  </si>
  <si>
    <t>PRODUCCIÓN/PRODUCTION</t>
  </si>
  <si>
    <t xml:space="preserve">3.2  PRODUCCIÓN MENSUAL DE CRUDO / MONTHLY OIL PRODUCTION </t>
  </si>
  <si>
    <t xml:space="preserve">3.3  PRODUCCIÓN ACUMULADA DE CRUDO / CUMULATED OIL PRODUCTION </t>
  </si>
  <si>
    <t>3.4  PRODUCCIÓN DE GAS / GAS PRODUCTION</t>
  </si>
  <si>
    <t>PRODUCCIÓN ACUMULADA/CUMULATED PRODUCTION</t>
  </si>
  <si>
    <t>POSEIDÓN NORTE y POSEIDÓN SUR.</t>
  </si>
  <si>
    <t>3.5  PRODUCCIÓN MENSUAL DE GAS / MONTHLY GAS PRODUCTION</t>
  </si>
  <si>
    <t>POSEIDÓN</t>
  </si>
  <si>
    <t>SUMA DE PRODUCCIONES DE PETRÓLEO Y GAS NATURAL CAMPOS ACTIVOS /</t>
  </si>
  <si>
    <t>PRODUCCIÓN ACUMULADA /</t>
  </si>
  <si>
    <t>PRODUCCIÓN / PRODUCTION</t>
  </si>
  <si>
    <t>(1) PETRÓLEO + GAS NATURAL. / OIL + NATURAL GAS.</t>
  </si>
  <si>
    <t>PETRÓLEO + GAS NATURAL. / OIL + NATURAL GAS.</t>
  </si>
  <si>
    <t>PRODUCCIÓN ANUAL DE HIDROCARBUROS POR CAMPOS DE PETRÓLEO / ANNUAL FIELDS OIL PRODUCTION</t>
  </si>
  <si>
    <t>PRODUCCIÓN ANUAL DE HIDROCARBUROS POR CAMPOS DE GAS / ANNUAL FIELDS GAS PRODUCTION</t>
  </si>
  <si>
    <t>PRODUCCIÓN ANUAL DE GAS Y PETRÓLEO / ANNUAL GAS AND OIL PRODUCTION</t>
  </si>
  <si>
    <t>PETRÓLEO/OIL</t>
  </si>
  <si>
    <t>EL ROMERAL 1, EL ROMERAL 2 y EL ROMERAL 3.</t>
  </si>
  <si>
    <r>
      <t>Nm</t>
    </r>
    <r>
      <rPr>
        <b/>
        <vertAlign val="superscript"/>
        <sz val="9"/>
        <rFont val="Arial"/>
        <family val="2"/>
      </rPr>
      <t>3</t>
    </r>
  </si>
  <si>
    <t>EL ROMERAL</t>
  </si>
  <si>
    <t>POSEIDÓN         (*)</t>
  </si>
  <si>
    <t>EL RUEDO         (*)</t>
  </si>
  <si>
    <t>EL ROMERAL     (*)</t>
  </si>
  <si>
    <t>EL</t>
  </si>
  <si>
    <t>ROMERAL</t>
  </si>
  <si>
    <t>bbl/día</t>
  </si>
  <si>
    <t>solo Casablanca</t>
  </si>
  <si>
    <t>solo Rodaballo</t>
  </si>
  <si>
    <t>solo Barracuda</t>
  </si>
  <si>
    <t>esto es Chipirón</t>
  </si>
  <si>
    <t>nosotros - Marismas A</t>
  </si>
  <si>
    <t>suma cía</t>
  </si>
  <si>
    <t>difer. con nosotros</t>
  </si>
  <si>
    <t>Tm</t>
  </si>
  <si>
    <t>Bbl</t>
  </si>
  <si>
    <t>Calculados respecto a las cantidades en toneladas. / Calculations-based on column (Tm).</t>
  </si>
  <si>
    <t>a 31/12/2005</t>
  </si>
  <si>
    <t>media anual:</t>
  </si>
  <si>
    <t>Miles de Tm / Thousand Tm</t>
  </si>
  <si>
    <t>UNITIZACIÓN</t>
  </si>
  <si>
    <t>PETROLEUM</t>
  </si>
  <si>
    <t>(*) Calculados respecto a las cantidades en T.E.P. (toneladas equivalentes de petróleo). / Calculations based on column in O.E.T. (oil equivalent tonnes).</t>
  </si>
  <si>
    <t>Miles Tep</t>
  </si>
  <si>
    <t>(Miles de Tm/Thousand Tm)</t>
  </si>
  <si>
    <t>(Miles de Tep/Thousand OET)</t>
  </si>
  <si>
    <t>UNITIZACIÓN CASABLANCA-MONTANAZO D</t>
  </si>
  <si>
    <t>UNITIZACIÓN ANGULA-CASABLANCA</t>
  </si>
  <si>
    <t>TOTAL (Tm)</t>
  </si>
  <si>
    <t>COMPARACIÓN DE LAS PRODUCCIONES DE 2005 y 2006 /</t>
  </si>
  <si>
    <t>2005 - 2006 COMPARATIVE PRODUCTION</t>
  </si>
  <si>
    <t>Tm / T.E.P.</t>
  </si>
  <si>
    <t>MARISMAS (T.E.P.)</t>
  </si>
  <si>
    <t>POSEIDÓN (T.E.P.)</t>
  </si>
  <si>
    <t>EL RUEDO (T.E.P.)</t>
  </si>
  <si>
    <t>LAS BARRERAS (T.E.P.)</t>
  </si>
  <si>
    <t>EL ROMERAL (T.E.P.)</t>
  </si>
  <si>
    <t xml:space="preserve">PRODUCCIONES HISTÓRICAS DE PETRÓLEO Y GAS NATURAL EN CAMPOS </t>
  </si>
  <si>
    <t xml:space="preserve">INACTIVOS / HISTORICAL OIL AND GAS PRODUCTION IN INACTIVE FIELDS. </t>
  </si>
  <si>
    <t>POSEIDÓN          (1)</t>
  </si>
  <si>
    <t>EL RUEDO           (2)</t>
  </si>
  <si>
    <t>LAS BARRERAS  (3)</t>
  </si>
  <si>
    <t>EL ROMERAL      (4)</t>
  </si>
  <si>
    <t>Numbers in brackets show decreasing percentages.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</si>
</sst>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#,##0.0"/>
    <numFmt numFmtId="183" formatCode="#,##0.00_);\(#,##0.00\)"/>
    <numFmt numFmtId="184" formatCode="0.0%"/>
    <numFmt numFmtId="185" formatCode="General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mmmmm"/>
    <numFmt numFmtId="192" formatCode="mmm"/>
    <numFmt numFmtId="193" formatCode="yy"/>
    <numFmt numFmtId="194" formatCode="yyyy"/>
    <numFmt numFmtId="195" formatCode="mmmm\-yy"/>
    <numFmt numFmtId="196" formatCode="#,##0.000_);\(#,##0.000\)"/>
    <numFmt numFmtId="197" formatCode="#,##0.0000_);\(#,##0.0000\)"/>
    <numFmt numFmtId="198" formatCode="#,##0.00000_);\(#,##0.00000\)"/>
    <numFmt numFmtId="199" formatCode="#,##0.000000_);\(#,##0.000000\)"/>
    <numFmt numFmtId="200" formatCode="#,##0.000"/>
    <numFmt numFmtId="201" formatCode="#,##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Arial"/>
      <family val="0"/>
    </font>
    <font>
      <b/>
      <sz val="12"/>
      <name val="Arial"/>
      <family val="2"/>
    </font>
    <font>
      <b/>
      <u val="single"/>
      <sz val="14"/>
      <color indexed="8"/>
      <name val="Arial"/>
      <family val="0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5.75"/>
      <name val="Arial"/>
      <family val="0"/>
    </font>
    <font>
      <b/>
      <sz val="8"/>
      <name val="Arial"/>
      <family val="2"/>
    </font>
    <font>
      <b/>
      <sz val="8.75"/>
      <name val="Arial"/>
      <family val="2"/>
    </font>
    <font>
      <b/>
      <sz val="11"/>
      <name val="Arial"/>
      <family val="2"/>
    </font>
    <font>
      <b/>
      <u val="single"/>
      <sz val="16.25"/>
      <color indexed="16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4"/>
      <color indexed="63"/>
      <name val="Arial"/>
      <family val="2"/>
    </font>
    <font>
      <b/>
      <sz val="9.75"/>
      <name val="Arial"/>
      <family val="2"/>
    </font>
    <font>
      <sz val="9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.75"/>
      <name val="Arial"/>
      <family val="2"/>
    </font>
    <font>
      <sz val="4.75"/>
      <name val="Arial"/>
      <family val="0"/>
    </font>
    <font>
      <b/>
      <sz val="10.25"/>
      <name val="Arial"/>
      <family val="2"/>
    </font>
    <font>
      <b/>
      <u val="single"/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6"/>
      <name val="Arial"/>
      <family val="2"/>
    </font>
    <font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9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1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 horizontal="centerContinuous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6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9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 applyProtection="1">
      <alignment horizontal="centerContinuous"/>
      <protection/>
    </xf>
    <xf numFmtId="3" fontId="5" fillId="0" borderId="13" xfId="0" applyNumberFormat="1" applyFont="1" applyFill="1" applyBorder="1" applyAlignment="1">
      <alignment horizontal="centerContinuous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Continuous"/>
    </xf>
    <xf numFmtId="3" fontId="5" fillId="0" borderId="17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5" fillId="0" borderId="27" xfId="0" applyNumberFormat="1" applyFont="1" applyFill="1" applyBorder="1" applyAlignment="1" applyProtection="1">
      <alignment horizontal="center"/>
      <protection/>
    </xf>
    <xf numFmtId="3" fontId="5" fillId="0" borderId="28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6" fillId="0" borderId="32" xfId="0" applyNumberFormat="1" applyFont="1" applyFill="1" applyBorder="1" applyAlignment="1" applyProtection="1">
      <alignment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35" xfId="0" applyNumberFormat="1" applyFont="1" applyFill="1" applyBorder="1" applyAlignment="1" applyProtection="1">
      <alignment horizontal="center"/>
      <protection/>
    </xf>
    <xf numFmtId="3" fontId="5" fillId="0" borderId="36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 applyProtection="1">
      <alignment horizontal="left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 horizontal="centerContinuous"/>
      <protection/>
    </xf>
    <xf numFmtId="182" fontId="1" fillId="0" borderId="0" xfId="0" applyNumberFormat="1" applyFont="1" applyBorder="1" applyAlignment="1">
      <alignment horizontal="centerContinuous"/>
    </xf>
    <xf numFmtId="182" fontId="0" fillId="0" borderId="32" xfId="0" applyNumberFormat="1" applyFont="1" applyBorder="1" applyAlignment="1">
      <alignment/>
    </xf>
    <xf numFmtId="4" fontId="0" fillId="0" borderId="32" xfId="0" applyNumberFormat="1" applyFont="1" applyBorder="1" applyAlignment="1" applyProtection="1">
      <alignment/>
      <protection/>
    </xf>
    <xf numFmtId="183" fontId="6" fillId="0" borderId="30" xfId="0" applyNumberFormat="1" applyFont="1" applyFill="1" applyBorder="1" applyAlignment="1" applyProtection="1">
      <alignment/>
      <protection/>
    </xf>
    <xf numFmtId="181" fontId="6" fillId="0" borderId="37" xfId="0" applyNumberFormat="1" applyFont="1" applyFill="1" applyBorder="1" applyAlignment="1" applyProtection="1">
      <alignment horizontal="center"/>
      <protection/>
    </xf>
    <xf numFmtId="181" fontId="6" fillId="0" borderId="38" xfId="0" applyNumberFormat="1" applyFont="1" applyFill="1" applyBorder="1" applyAlignment="1">
      <alignment/>
    </xf>
    <xf numFmtId="182" fontId="0" fillId="0" borderId="32" xfId="0" applyNumberFormat="1" applyFont="1" applyBorder="1" applyAlignment="1" applyProtection="1">
      <alignment/>
      <protection/>
    </xf>
    <xf numFmtId="182" fontId="6" fillId="0" borderId="32" xfId="0" applyNumberFormat="1" applyFont="1" applyFill="1" applyBorder="1" applyAlignment="1">
      <alignment/>
    </xf>
    <xf numFmtId="182" fontId="5" fillId="0" borderId="36" xfId="0" applyNumberFormat="1" applyFont="1" applyFill="1" applyBorder="1" applyAlignment="1" applyProtection="1">
      <alignment/>
      <protection/>
    </xf>
    <xf numFmtId="182" fontId="1" fillId="0" borderId="36" xfId="0" applyNumberFormat="1" applyFont="1" applyBorder="1" applyAlignment="1" applyProtection="1">
      <alignment horizontal="center"/>
      <protection/>
    </xf>
    <xf numFmtId="182" fontId="6" fillId="0" borderId="39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82" fontId="6" fillId="0" borderId="40" xfId="0" applyNumberFormat="1" applyFont="1" applyFill="1" applyBorder="1" applyAlignment="1">
      <alignment/>
    </xf>
    <xf numFmtId="182" fontId="5" fillId="0" borderId="37" xfId="0" applyNumberFormat="1" applyFont="1" applyFill="1" applyBorder="1" applyAlignment="1">
      <alignment/>
    </xf>
    <xf numFmtId="182" fontId="1" fillId="0" borderId="30" xfId="0" applyNumberFormat="1" applyFont="1" applyBorder="1" applyAlignment="1">
      <alignment/>
    </xf>
    <xf numFmtId="182" fontId="5" fillId="0" borderId="37" xfId="0" applyNumberFormat="1" applyFont="1" applyFill="1" applyBorder="1" applyAlignment="1" applyProtection="1">
      <alignment/>
      <protection/>
    </xf>
    <xf numFmtId="182" fontId="1" fillId="0" borderId="30" xfId="0" applyNumberFormat="1" applyFont="1" applyBorder="1" applyAlignment="1" applyProtection="1">
      <alignment horizontal="center"/>
      <protection/>
    </xf>
    <xf numFmtId="182" fontId="5" fillId="0" borderId="41" xfId="0" applyNumberFormat="1" applyFont="1" applyFill="1" applyBorder="1" applyAlignment="1" applyProtection="1">
      <alignment/>
      <protection/>
    </xf>
    <xf numFmtId="182" fontId="1" fillId="0" borderId="42" xfId="0" applyNumberFormat="1" applyFont="1" applyBorder="1" applyAlignment="1" applyProtection="1">
      <alignment horizontal="center"/>
      <protection/>
    </xf>
    <xf numFmtId="182" fontId="6" fillId="0" borderId="37" xfId="0" applyNumberFormat="1" applyFont="1" applyFill="1" applyBorder="1" applyAlignment="1" applyProtection="1">
      <alignment/>
      <protection/>
    </xf>
    <xf numFmtId="182" fontId="0" fillId="0" borderId="30" xfId="0" applyNumberFormat="1" applyFont="1" applyBorder="1" applyAlignment="1" applyProtection="1">
      <alignment horizontal="center"/>
      <protection/>
    </xf>
    <xf numFmtId="182" fontId="6" fillId="0" borderId="37" xfId="0" applyNumberFormat="1" applyFont="1" applyFill="1" applyBorder="1" applyAlignment="1">
      <alignment/>
    </xf>
    <xf numFmtId="182" fontId="0" fillId="0" borderId="30" xfId="0" applyNumberFormat="1" applyFont="1" applyBorder="1" applyAlignment="1">
      <alignment/>
    </xf>
    <xf numFmtId="182" fontId="6" fillId="0" borderId="30" xfId="0" applyNumberFormat="1" applyFont="1" applyFill="1" applyBorder="1" applyAlignment="1">
      <alignment/>
    </xf>
    <xf numFmtId="182" fontId="6" fillId="0" borderId="38" xfId="0" applyNumberFormat="1" applyFont="1" applyFill="1" applyBorder="1" applyAlignment="1">
      <alignment/>
    </xf>
    <xf numFmtId="182" fontId="6" fillId="0" borderId="43" xfId="0" applyNumberFormat="1" applyFont="1" applyFill="1" applyBorder="1" applyAlignment="1">
      <alignment/>
    </xf>
    <xf numFmtId="182" fontId="0" fillId="0" borderId="43" xfId="0" applyNumberFormat="1" applyFont="1" applyBorder="1" applyAlignment="1">
      <alignment/>
    </xf>
    <xf numFmtId="182" fontId="0" fillId="0" borderId="31" xfId="0" applyNumberFormat="1" applyFont="1" applyBorder="1" applyAlignment="1">
      <alignment/>
    </xf>
    <xf numFmtId="182" fontId="1" fillId="0" borderId="36" xfId="0" applyNumberFormat="1" applyFont="1" applyBorder="1" applyAlignment="1" applyProtection="1">
      <alignment horizontal="centerContinuous"/>
      <protection/>
    </xf>
    <xf numFmtId="183" fontId="0" fillId="0" borderId="30" xfId="0" applyNumberFormat="1" applyFont="1" applyBorder="1" applyAlignment="1" applyProtection="1">
      <alignment/>
      <protection/>
    </xf>
    <xf numFmtId="182" fontId="1" fillId="0" borderId="36" xfId="0" applyNumberFormat="1" applyFont="1" applyBorder="1" applyAlignment="1">
      <alignment horizontal="centerContinuous"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Fill="1" applyBorder="1" applyAlignment="1">
      <alignment/>
    </xf>
    <xf numFmtId="10" fontId="0" fillId="0" borderId="0" xfId="21" applyNumberFormat="1" applyFont="1" applyBorder="1" applyAlignment="1" applyProtection="1">
      <alignment/>
      <protection/>
    </xf>
    <xf numFmtId="10" fontId="6" fillId="0" borderId="0" xfId="21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6" fillId="0" borderId="37" xfId="0" applyFont="1" applyFill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horizontal="center"/>
      <protection/>
    </xf>
    <xf numFmtId="183" fontId="0" fillId="0" borderId="30" xfId="0" applyNumberFormat="1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43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3" xfId="0" applyNumberFormat="1" applyFont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4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1" fillId="0" borderId="36" xfId="0" applyNumberFormat="1" applyFont="1" applyBorder="1" applyAlignment="1" applyProtection="1">
      <alignment horizontal="centerContinuous"/>
      <protection/>
    </xf>
    <xf numFmtId="3" fontId="5" fillId="0" borderId="36" xfId="0" applyNumberFormat="1" applyFont="1" applyFill="1" applyBorder="1" applyAlignment="1">
      <alignment horizontal="centerContinuous"/>
    </xf>
    <xf numFmtId="3" fontId="1" fillId="0" borderId="30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3" fontId="1" fillId="0" borderId="36" xfId="0" applyNumberFormat="1" applyFont="1" applyBorder="1" applyAlignment="1" applyProtection="1">
      <alignment horizontal="center"/>
      <protection/>
    </xf>
    <xf numFmtId="3" fontId="1" fillId="0" borderId="36" xfId="0" applyNumberFormat="1" applyFont="1" applyBorder="1" applyAlignment="1" applyProtection="1">
      <alignment horizontal="right"/>
      <protection/>
    </xf>
    <xf numFmtId="3" fontId="1" fillId="0" borderId="36" xfId="0" applyNumberFormat="1" applyFont="1" applyBorder="1" applyAlignment="1">
      <alignment/>
    </xf>
    <xf numFmtId="3" fontId="1" fillId="0" borderId="42" xfId="0" applyNumberFormat="1" applyFont="1" applyBorder="1" applyAlignment="1" applyProtection="1">
      <alignment horizontal="center"/>
      <protection/>
    </xf>
    <xf numFmtId="3" fontId="0" fillId="0" borderId="36" xfId="0" applyNumberFormat="1" applyFont="1" applyBorder="1" applyAlignment="1" applyProtection="1">
      <alignment/>
      <protection/>
    </xf>
    <xf numFmtId="182" fontId="0" fillId="0" borderId="36" xfId="0" applyNumberFormat="1" applyFont="1" applyBorder="1" applyAlignment="1" applyProtection="1">
      <alignment/>
      <protection/>
    </xf>
    <xf numFmtId="10" fontId="0" fillId="0" borderId="36" xfId="0" applyNumberFormat="1" applyFont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82" fontId="6" fillId="0" borderId="41" xfId="0" applyNumberFormat="1" applyFont="1" applyFill="1" applyBorder="1" applyAlignment="1" applyProtection="1">
      <alignment/>
      <protection/>
    </xf>
    <xf numFmtId="182" fontId="6" fillId="0" borderId="36" xfId="0" applyNumberFormat="1" applyFont="1" applyFill="1" applyBorder="1" applyAlignment="1" applyProtection="1">
      <alignment/>
      <protection/>
    </xf>
    <xf numFmtId="182" fontId="0" fillId="0" borderId="36" xfId="0" applyNumberFormat="1" applyFont="1" applyBorder="1" applyAlignment="1">
      <alignment/>
    </xf>
    <xf numFmtId="4" fontId="0" fillId="0" borderId="36" xfId="0" applyNumberFormat="1" applyFont="1" applyBorder="1" applyAlignment="1" applyProtection="1">
      <alignment/>
      <protection/>
    </xf>
    <xf numFmtId="182" fontId="0" fillId="0" borderId="42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/>
    </xf>
    <xf numFmtId="182" fontId="5" fillId="0" borderId="36" xfId="0" applyNumberFormat="1" applyFont="1" applyFill="1" applyBorder="1" applyAlignment="1" applyProtection="1">
      <alignment horizontal="center"/>
      <protection/>
    </xf>
    <xf numFmtId="182" fontId="5" fillId="0" borderId="36" xfId="0" applyNumberFormat="1" applyFont="1" applyFill="1" applyBorder="1" applyAlignment="1">
      <alignment horizontal="center"/>
    </xf>
    <xf numFmtId="182" fontId="1" fillId="0" borderId="36" xfId="0" applyNumberFormat="1" applyFont="1" applyBorder="1" applyAlignment="1">
      <alignment horizontal="right"/>
    </xf>
    <xf numFmtId="182" fontId="5" fillId="0" borderId="36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 applyProtection="1">
      <alignment/>
      <protection/>
    </xf>
    <xf numFmtId="182" fontId="6" fillId="0" borderId="32" xfId="0" applyNumberFormat="1" applyFont="1" applyFill="1" applyBorder="1" applyAlignment="1" applyProtection="1">
      <alignment wrapText="1"/>
      <protection/>
    </xf>
    <xf numFmtId="182" fontId="6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182" fontId="0" fillId="0" borderId="39" xfId="0" applyNumberFormat="1" applyFont="1" applyBorder="1" applyAlignment="1">
      <alignment/>
    </xf>
    <xf numFmtId="182" fontId="0" fillId="0" borderId="37" xfId="0" applyNumberFormat="1" applyFont="1" applyBorder="1" applyAlignment="1">
      <alignment/>
    </xf>
    <xf numFmtId="182" fontId="0" fillId="0" borderId="38" xfId="0" applyNumberFormat="1" applyFont="1" applyBorder="1" applyAlignment="1">
      <alignment/>
    </xf>
    <xf numFmtId="182" fontId="6" fillId="0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>
      <alignment/>
    </xf>
    <xf numFmtId="182" fontId="0" fillId="0" borderId="4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3" fontId="5" fillId="0" borderId="36" xfId="0" applyNumberFormat="1" applyFont="1" applyFill="1" applyBorder="1" applyAlignment="1" applyProtection="1">
      <alignment horizontal="centerContinuous"/>
      <protection/>
    </xf>
    <xf numFmtId="3" fontId="5" fillId="0" borderId="34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 applyProtection="1">
      <alignment/>
      <protection/>
    </xf>
    <xf numFmtId="3" fontId="6" fillId="0" borderId="34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 applyProtection="1">
      <alignment horizontal="center"/>
      <protection/>
    </xf>
    <xf numFmtId="3" fontId="5" fillId="0" borderId="45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/>
    </xf>
    <xf numFmtId="3" fontId="6" fillId="0" borderId="3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centerContinuous"/>
    </xf>
    <xf numFmtId="3" fontId="5" fillId="0" borderId="37" xfId="0" applyNumberFormat="1" applyFont="1" applyFill="1" applyBorder="1" applyAlignment="1" applyProtection="1">
      <alignment/>
      <protection/>
    </xf>
    <xf numFmtId="3" fontId="5" fillId="0" borderId="46" xfId="0" applyNumberFormat="1" applyFont="1" applyFill="1" applyBorder="1" applyAlignment="1" applyProtection="1">
      <alignment horizontal="center"/>
      <protection/>
    </xf>
    <xf numFmtId="3" fontId="5" fillId="0" borderId="41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 applyProtection="1">
      <alignment/>
      <protection/>
    </xf>
    <xf numFmtId="3" fontId="6" fillId="0" borderId="46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41" xfId="0" applyNumberFormat="1" applyFont="1" applyFill="1" applyBorder="1" applyAlignment="1" applyProtection="1">
      <alignment horizontal="center"/>
      <protection/>
    </xf>
    <xf numFmtId="3" fontId="6" fillId="0" borderId="35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36" xfId="0" applyNumberFormat="1" applyFont="1" applyFill="1" applyBorder="1" applyAlignment="1" applyProtection="1">
      <alignment/>
      <protection/>
    </xf>
    <xf numFmtId="3" fontId="5" fillId="0" borderId="48" xfId="0" applyNumberFormat="1" applyFont="1" applyFill="1" applyBorder="1" applyAlignment="1">
      <alignment horizontal="centerContinuous"/>
    </xf>
    <xf numFmtId="3" fontId="6" fillId="0" borderId="48" xfId="0" applyNumberFormat="1" applyFont="1" applyFill="1" applyBorder="1" applyAlignment="1">
      <alignment horizontal="centerContinuous"/>
    </xf>
    <xf numFmtId="3" fontId="6" fillId="0" borderId="49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Border="1" applyAlignment="1">
      <alignment/>
    </xf>
    <xf numFmtId="3" fontId="5" fillId="0" borderId="36" xfId="0" applyNumberFormat="1" applyFont="1" applyFill="1" applyBorder="1" applyAlignment="1" applyProtection="1">
      <alignment horizontal="center"/>
      <protection/>
    </xf>
    <xf numFmtId="3" fontId="6" fillId="0" borderId="32" xfId="0" applyNumberFormat="1" applyFont="1" applyFill="1" applyBorder="1" applyAlignment="1" applyProtection="1">
      <alignment horizontal="right"/>
      <protection/>
    </xf>
    <xf numFmtId="3" fontId="0" fillId="0" borderId="32" xfId="0" applyNumberFormat="1" applyFont="1" applyBorder="1" applyAlignment="1">
      <alignment horizontal="right"/>
    </xf>
    <xf numFmtId="1" fontId="6" fillId="0" borderId="39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 applyProtection="1">
      <alignment horizontal="centerContinuous"/>
      <protection/>
    </xf>
    <xf numFmtId="3" fontId="6" fillId="0" borderId="48" xfId="0" applyNumberFormat="1" applyFont="1" applyFill="1" applyBorder="1" applyAlignment="1">
      <alignment horizontal="centerContinuous"/>
    </xf>
    <xf numFmtId="0" fontId="0" fillId="0" borderId="48" xfId="0" applyBorder="1" applyAlignment="1">
      <alignment horizontal="centerContinuous"/>
    </xf>
    <xf numFmtId="3" fontId="6" fillId="0" borderId="49" xfId="0" applyNumberFormat="1" applyFont="1" applyFill="1" applyBorder="1" applyAlignment="1">
      <alignment horizontal="centerContinuous"/>
    </xf>
    <xf numFmtId="1" fontId="5" fillId="0" borderId="37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 applyProtection="1">
      <alignment horizontal="center"/>
      <protection/>
    </xf>
    <xf numFmtId="1" fontId="5" fillId="0" borderId="41" xfId="0" applyNumberFormat="1" applyFont="1" applyFill="1" applyBorder="1" applyAlignment="1" applyProtection="1">
      <alignment horizontal="center"/>
      <protection/>
    </xf>
    <xf numFmtId="3" fontId="5" fillId="0" borderId="42" xfId="0" applyNumberFormat="1" applyFont="1" applyFill="1" applyBorder="1" applyAlignment="1" applyProtection="1">
      <alignment horizontal="center"/>
      <protection/>
    </xf>
    <xf numFmtId="1" fontId="6" fillId="0" borderId="50" xfId="0" applyNumberFormat="1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Fill="1" applyBorder="1" applyAlignment="1">
      <alignment horizontal="center"/>
    </xf>
    <xf numFmtId="182" fontId="5" fillId="0" borderId="36" xfId="0" applyNumberFormat="1" applyFont="1" applyFill="1" applyBorder="1" applyAlignment="1" applyProtection="1">
      <alignment horizontal="center"/>
      <protection/>
    </xf>
    <xf numFmtId="1" fontId="5" fillId="0" borderId="39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Continuous"/>
    </xf>
    <xf numFmtId="3" fontId="5" fillId="0" borderId="29" xfId="0" applyNumberFormat="1" applyFont="1" applyFill="1" applyBorder="1" applyAlignment="1">
      <alignment/>
    </xf>
    <xf numFmtId="182" fontId="5" fillId="0" borderId="49" xfId="0" applyNumberFormat="1" applyFont="1" applyFill="1" applyBorder="1" applyAlignment="1" applyProtection="1">
      <alignment horizontal="center"/>
      <protection/>
    </xf>
    <xf numFmtId="182" fontId="5" fillId="0" borderId="30" xfId="0" applyNumberFormat="1" applyFont="1" applyFill="1" applyBorder="1" applyAlignment="1">
      <alignment horizontal="center"/>
    </xf>
    <xf numFmtId="182" fontId="5" fillId="0" borderId="42" xfId="0" applyNumberFormat="1" applyFont="1" applyFill="1" applyBorder="1" applyAlignment="1" applyProtection="1">
      <alignment horizontal="center"/>
      <protection/>
    </xf>
    <xf numFmtId="1" fontId="6" fillId="0" borderId="50" xfId="0" applyNumberFormat="1" applyFont="1" applyFill="1" applyBorder="1" applyAlignment="1" applyProtection="1">
      <alignment/>
      <protection/>
    </xf>
    <xf numFmtId="182" fontId="6" fillId="0" borderId="33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>
      <alignment horizontal="center"/>
    </xf>
    <xf numFmtId="182" fontId="5" fillId="0" borderId="29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82" fontId="6" fillId="0" borderId="32" xfId="0" applyNumberFormat="1" applyFont="1" applyFill="1" applyBorder="1" applyAlignment="1" applyProtection="1">
      <alignment horizontal="right"/>
      <protection/>
    </xf>
    <xf numFmtId="1" fontId="5" fillId="0" borderId="39" xfId="0" applyNumberFormat="1" applyFont="1" applyFill="1" applyBorder="1" applyAlignment="1" applyProtection="1">
      <alignment horizontal="center"/>
      <protection/>
    </xf>
    <xf numFmtId="182" fontId="5" fillId="0" borderId="40" xfId="0" applyNumberFormat="1" applyFont="1" applyFill="1" applyBorder="1" applyAlignment="1" applyProtection="1">
      <alignment horizontal="center"/>
      <protection/>
    </xf>
    <xf numFmtId="181" fontId="5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>
      <alignment/>
    </xf>
    <xf numFmtId="181" fontId="0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Font="1" applyBorder="1" applyAlignment="1">
      <alignment/>
    </xf>
    <xf numFmtId="181" fontId="4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 horizontal="right"/>
    </xf>
    <xf numFmtId="181" fontId="5" fillId="0" borderId="36" xfId="0" applyNumberFormat="1" applyFont="1" applyFill="1" applyBorder="1" applyAlignment="1" applyProtection="1">
      <alignment horizontal="center"/>
      <protection/>
    </xf>
    <xf numFmtId="181" fontId="10" fillId="0" borderId="0" xfId="0" applyNumberFormat="1" applyFont="1" applyBorder="1" applyAlignment="1">
      <alignment horizontal="right"/>
    </xf>
    <xf numFmtId="181" fontId="13" fillId="0" borderId="0" xfId="0" applyNumberFormat="1" applyFont="1" applyFill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/>
    </xf>
    <xf numFmtId="181" fontId="5" fillId="0" borderId="39" xfId="0" applyNumberFormat="1" applyFont="1" applyFill="1" applyBorder="1" applyAlignment="1">
      <alignment/>
    </xf>
    <xf numFmtId="181" fontId="5" fillId="0" borderId="48" xfId="0" applyNumberFormat="1" applyFont="1" applyFill="1" applyBorder="1" applyAlignment="1" applyProtection="1">
      <alignment/>
      <protection/>
    </xf>
    <xf numFmtId="181" fontId="5" fillId="0" borderId="48" xfId="0" applyNumberFormat="1" applyFont="1" applyFill="1" applyBorder="1" applyAlignment="1" applyProtection="1">
      <alignment horizontal="center"/>
      <protection/>
    </xf>
    <xf numFmtId="183" fontId="5" fillId="0" borderId="49" xfId="0" applyNumberFormat="1" applyFont="1" applyFill="1" applyBorder="1" applyAlignment="1">
      <alignment/>
    </xf>
    <xf numFmtId="181" fontId="5" fillId="0" borderId="41" xfId="0" applyNumberFormat="1" applyFont="1" applyFill="1" applyBorder="1" applyAlignment="1" applyProtection="1">
      <alignment horizontal="center"/>
      <protection/>
    </xf>
    <xf numFmtId="183" fontId="5" fillId="0" borderId="42" xfId="0" applyNumberFormat="1" applyFont="1" applyFill="1" applyBorder="1" applyAlignment="1" applyProtection="1">
      <alignment horizontal="center"/>
      <protection/>
    </xf>
    <xf numFmtId="181" fontId="6" fillId="0" borderId="37" xfId="0" applyNumberFormat="1" applyFont="1" applyFill="1" applyBorder="1" applyAlignment="1">
      <alignment/>
    </xf>
    <xf numFmtId="183" fontId="6" fillId="0" borderId="30" xfId="0" applyNumberFormat="1" applyFont="1" applyFill="1" applyBorder="1" applyAlignment="1">
      <alignment/>
    </xf>
    <xf numFmtId="181" fontId="13" fillId="0" borderId="37" xfId="0" applyNumberFormat="1" applyFont="1" applyFill="1" applyBorder="1" applyAlignment="1" applyProtection="1">
      <alignment horizontal="left"/>
      <protection/>
    </xf>
    <xf numFmtId="181" fontId="0" fillId="0" borderId="43" xfId="0" applyNumberFormat="1" applyFont="1" applyBorder="1" applyAlignment="1">
      <alignment/>
    </xf>
    <xf numFmtId="183" fontId="0" fillId="0" borderId="31" xfId="0" applyNumberFormat="1" applyFont="1" applyBorder="1" applyAlignment="1">
      <alignment/>
    </xf>
    <xf numFmtId="181" fontId="5" fillId="0" borderId="29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50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183" fontId="0" fillId="0" borderId="33" xfId="0" applyNumberFormat="1" applyFont="1" applyBorder="1" applyAlignment="1" applyProtection="1">
      <alignment/>
      <protection/>
    </xf>
    <xf numFmtId="181" fontId="6" fillId="0" borderId="50" xfId="0" applyNumberFormat="1" applyFont="1" applyFill="1" applyBorder="1" applyAlignment="1" applyProtection="1">
      <alignment wrapText="1"/>
      <protection/>
    </xf>
    <xf numFmtId="181" fontId="6" fillId="0" borderId="32" xfId="0" applyNumberFormat="1" applyFont="1" applyFill="1" applyBorder="1" applyAlignment="1" applyProtection="1">
      <alignment wrapText="1"/>
      <protection/>
    </xf>
    <xf numFmtId="183" fontId="6" fillId="0" borderId="33" xfId="0" applyNumberFormat="1" applyFont="1" applyFill="1" applyBorder="1" applyAlignment="1" applyProtection="1">
      <alignment/>
      <protection/>
    </xf>
    <xf numFmtId="181" fontId="14" fillId="0" borderId="37" xfId="0" applyNumberFormat="1" applyFont="1" applyFill="1" applyBorder="1" applyAlignment="1" applyProtection="1">
      <alignment horizontal="center"/>
      <protection/>
    </xf>
    <xf numFmtId="181" fontId="6" fillId="0" borderId="36" xfId="0" applyNumberFormat="1" applyFont="1" applyFill="1" applyBorder="1" applyAlignment="1" applyProtection="1">
      <alignment horizontal="center"/>
      <protection/>
    </xf>
    <xf numFmtId="181" fontId="6" fillId="0" borderId="36" xfId="0" applyNumberFormat="1" applyFont="1" applyFill="1" applyBorder="1" applyAlignment="1" applyProtection="1">
      <alignment/>
      <protection/>
    </xf>
    <xf numFmtId="183" fontId="6" fillId="0" borderId="42" xfId="0" applyNumberFormat="1" applyFont="1" applyFill="1" applyBorder="1" applyAlignment="1" applyProtection="1">
      <alignment/>
      <protection/>
    </xf>
    <xf numFmtId="182" fontId="12" fillId="0" borderId="0" xfId="0" applyNumberFormat="1" applyFont="1" applyBorder="1" applyAlignment="1">
      <alignment/>
    </xf>
    <xf numFmtId="3" fontId="5" fillId="0" borderId="51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horizontal="centerContinuous"/>
    </xf>
    <xf numFmtId="3" fontId="5" fillId="0" borderId="52" xfId="0" applyNumberFormat="1" applyFont="1" applyFill="1" applyBorder="1" applyAlignment="1" applyProtection="1">
      <alignment horizontal="center"/>
      <protection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>
      <alignment horizontal="centerContinuous"/>
    </xf>
    <xf numFmtId="3" fontId="5" fillId="0" borderId="55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centerContinuous"/>
    </xf>
    <xf numFmtId="3" fontId="5" fillId="0" borderId="56" xfId="0" applyNumberFormat="1" applyFont="1" applyFill="1" applyBorder="1" applyAlignment="1" applyProtection="1">
      <alignment horizontal="center"/>
      <protection/>
    </xf>
    <xf numFmtId="3" fontId="5" fillId="0" borderId="57" xfId="0" applyNumberFormat="1" applyFont="1" applyFill="1" applyBorder="1" applyAlignment="1" applyProtection="1">
      <alignment horizontal="center"/>
      <protection/>
    </xf>
    <xf numFmtId="3" fontId="6" fillId="0" borderId="58" xfId="0" applyNumberFormat="1" applyFont="1" applyFill="1" applyBorder="1" applyAlignment="1" applyProtection="1">
      <alignment/>
      <protection/>
    </xf>
    <xf numFmtId="3" fontId="6" fillId="0" borderId="5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Continuous"/>
    </xf>
    <xf numFmtId="182" fontId="6" fillId="0" borderId="3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1" fontId="6" fillId="0" borderId="61" xfId="0" applyNumberFormat="1" applyFont="1" applyFill="1" applyBorder="1" applyAlignment="1" applyProtection="1">
      <alignment horizontal="center"/>
      <protection/>
    </xf>
    <xf numFmtId="3" fontId="6" fillId="0" borderId="60" xfId="0" applyNumberFormat="1" applyFont="1" applyFill="1" applyBorder="1" applyAlignment="1" applyProtection="1">
      <alignment/>
      <protection/>
    </xf>
    <xf numFmtId="3" fontId="6" fillId="0" borderId="60" xfId="0" applyNumberFormat="1" applyFont="1" applyFill="1" applyBorder="1" applyAlignment="1" applyProtection="1">
      <alignment horizontal="right"/>
      <protection/>
    </xf>
    <xf numFmtId="3" fontId="6" fillId="0" borderId="62" xfId="0" applyNumberFormat="1" applyFont="1" applyFill="1" applyBorder="1" applyAlignment="1" applyProtection="1">
      <alignment/>
      <protection/>
    </xf>
    <xf numFmtId="1" fontId="6" fillId="0" borderId="5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 horizontal="right"/>
    </xf>
    <xf numFmtId="1" fontId="6" fillId="0" borderId="61" xfId="0" applyNumberFormat="1" applyFont="1" applyFill="1" applyBorder="1" applyAlignment="1">
      <alignment horizontal="center"/>
    </xf>
    <xf numFmtId="182" fontId="6" fillId="0" borderId="60" xfId="0" applyNumberFormat="1" applyFont="1" applyFill="1" applyBorder="1" applyAlignment="1">
      <alignment/>
    </xf>
    <xf numFmtId="182" fontId="6" fillId="0" borderId="62" xfId="0" applyNumberFormat="1" applyFont="1" applyFill="1" applyBorder="1" applyAlignment="1" applyProtection="1">
      <alignment/>
      <protection/>
    </xf>
    <xf numFmtId="3" fontId="6" fillId="0" borderId="37" xfId="0" applyNumberFormat="1" applyFont="1" applyFill="1" applyBorder="1" applyAlignment="1">
      <alignment horizontal="center"/>
    </xf>
    <xf numFmtId="1" fontId="6" fillId="0" borderId="6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center"/>
    </xf>
    <xf numFmtId="182" fontId="0" fillId="0" borderId="37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>
      <alignment horizontal="right"/>
    </xf>
    <xf numFmtId="0" fontId="0" fillId="0" borderId="37" xfId="0" applyFont="1" applyBorder="1" applyAlignment="1" applyProtection="1">
      <alignment horizontal="left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82" fontId="0" fillId="0" borderId="32" xfId="0" applyNumberFormat="1" applyFont="1" applyFill="1" applyBorder="1" applyAlignment="1" applyProtection="1">
      <alignment/>
      <protection/>
    </xf>
    <xf numFmtId="182" fontId="0" fillId="0" borderId="32" xfId="0" applyNumberFormat="1" applyFont="1" applyFill="1" applyBorder="1" applyAlignment="1" applyProtection="1">
      <alignment wrapText="1"/>
      <protection/>
    </xf>
    <xf numFmtId="182" fontId="0" fillId="0" borderId="32" xfId="0" applyNumberFormat="1" applyFont="1" applyFill="1" applyBorder="1" applyAlignment="1" applyProtection="1">
      <alignment/>
      <protection/>
    </xf>
    <xf numFmtId="1" fontId="6" fillId="0" borderId="61" xfId="0" applyNumberFormat="1" applyFont="1" applyFill="1" applyBorder="1" applyAlignment="1" applyProtection="1">
      <alignment/>
      <protection/>
    </xf>
    <xf numFmtId="3" fontId="6" fillId="0" borderId="60" xfId="0" applyNumberFormat="1" applyFont="1" applyFill="1" applyBorder="1" applyAlignment="1">
      <alignment horizontal="right"/>
    </xf>
    <xf numFmtId="182" fontId="6" fillId="0" borderId="62" xfId="0" applyNumberFormat="1" applyFont="1" applyFill="1" applyBorder="1" applyAlignment="1">
      <alignment/>
    </xf>
    <xf numFmtId="182" fontId="6" fillId="0" borderId="64" xfId="0" applyNumberFormat="1" applyFont="1" applyFill="1" applyBorder="1" applyAlignment="1">
      <alignment/>
    </xf>
    <xf numFmtId="201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11" fillId="2" borderId="39" xfId="0" applyNumberFormat="1" applyFont="1" applyFill="1" applyBorder="1" applyAlignment="1" applyProtection="1">
      <alignment horizontal="center"/>
      <protection/>
    </xf>
    <xf numFmtId="3" fontId="11" fillId="2" borderId="39" xfId="0" applyNumberFormat="1" applyFont="1" applyFill="1" applyBorder="1" applyAlignment="1" applyProtection="1">
      <alignment horizontal="center"/>
      <protection/>
    </xf>
    <xf numFmtId="3" fontId="30" fillId="0" borderId="61" xfId="0" applyNumberFormat="1" applyFont="1" applyFill="1" applyBorder="1" applyAlignment="1">
      <alignment horizontal="justify" vertical="center"/>
    </xf>
    <xf numFmtId="3" fontId="30" fillId="0" borderId="65" xfId="0" applyNumberFormat="1" applyFont="1" applyFill="1" applyBorder="1" applyAlignment="1">
      <alignment horizontal="right" vertical="center"/>
    </xf>
    <xf numFmtId="3" fontId="30" fillId="0" borderId="65" xfId="0" applyNumberFormat="1" applyFont="1" applyFill="1" applyBorder="1" applyAlignment="1" applyProtection="1">
      <alignment horizontal="right" vertical="center"/>
      <protection/>
    </xf>
    <xf numFmtId="3" fontId="30" fillId="0" borderId="62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Border="1" applyAlignment="1">
      <alignment horizontal="justify" vertical="center"/>
    </xf>
    <xf numFmtId="3" fontId="27" fillId="0" borderId="38" xfId="0" applyNumberFormat="1" applyFont="1" applyBorder="1" applyAlignment="1">
      <alignment horizontal="justify" vertical="center"/>
    </xf>
    <xf numFmtId="3" fontId="27" fillId="0" borderId="66" xfId="0" applyNumberFormat="1" applyFont="1" applyBorder="1" applyAlignment="1">
      <alignment horizontal="right" vertical="center"/>
    </xf>
    <xf numFmtId="3" fontId="27" fillId="0" borderId="67" xfId="0" applyNumberFormat="1" applyFont="1" applyBorder="1" applyAlignment="1">
      <alignment horizontal="right" vertical="center"/>
    </xf>
    <xf numFmtId="3" fontId="27" fillId="0" borderId="68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Fill="1" applyBorder="1" applyAlignment="1" applyProtection="1">
      <alignment horizontal="left" vertical="center"/>
      <protection/>
    </xf>
    <xf numFmtId="3" fontId="27" fillId="0" borderId="39" xfId="0" applyNumberFormat="1" applyFont="1" applyBorder="1" applyAlignment="1">
      <alignment horizontal="justify" vertical="center"/>
    </xf>
    <xf numFmtId="3" fontId="7" fillId="0" borderId="69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30" fillId="0" borderId="41" xfId="0" applyNumberFormat="1" applyFont="1" applyFill="1" applyBorder="1" applyAlignment="1">
      <alignment horizontal="justify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30" fillId="0" borderId="37" xfId="0" applyNumberFormat="1" applyFont="1" applyFill="1" applyBorder="1" applyAlignment="1">
      <alignment horizontal="justify" vertical="center"/>
    </xf>
    <xf numFmtId="3" fontId="27" fillId="0" borderId="71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3" fontId="30" fillId="0" borderId="61" xfId="0" applyNumberFormat="1" applyFont="1" applyFill="1" applyBorder="1" applyAlignment="1" applyProtection="1">
      <alignment horizontal="justify" vertical="center"/>
      <protection/>
    </xf>
    <xf numFmtId="3" fontId="30" fillId="0" borderId="72" xfId="0" applyNumberFormat="1" applyFont="1" applyFill="1" applyBorder="1" applyAlignment="1" applyProtection="1">
      <alignment horizontal="center" vertical="center"/>
      <protection/>
    </xf>
    <xf numFmtId="3" fontId="30" fillId="0" borderId="73" xfId="0" applyNumberFormat="1" applyFont="1" applyFill="1" applyBorder="1" applyAlignment="1" applyProtection="1">
      <alignment horizontal="right" vertical="center"/>
      <protection/>
    </xf>
    <xf numFmtId="3" fontId="30" fillId="0" borderId="74" xfId="0" applyNumberFormat="1" applyFont="1" applyFill="1" applyBorder="1" applyAlignment="1" applyProtection="1">
      <alignment horizontal="right" vertical="center"/>
      <protection/>
    </xf>
    <xf numFmtId="3" fontId="30" fillId="0" borderId="75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justify" vertical="center"/>
      <protection/>
    </xf>
    <xf numFmtId="3" fontId="30" fillId="0" borderId="0" xfId="0" applyNumberFormat="1" applyFont="1" applyFill="1" applyBorder="1" applyAlignment="1">
      <alignment horizontal="justify" vertical="center"/>
    </xf>
    <xf numFmtId="3" fontId="30" fillId="0" borderId="39" xfId="0" applyNumberFormat="1" applyFont="1" applyFill="1" applyBorder="1" applyAlignment="1">
      <alignment horizontal="justify" vertical="center"/>
    </xf>
    <xf numFmtId="3" fontId="27" fillId="0" borderId="37" xfId="0" applyNumberFormat="1" applyFont="1" applyBorder="1" applyAlignment="1">
      <alignment horizontal="justify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76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justify" vertical="center"/>
    </xf>
    <xf numFmtId="3" fontId="7" fillId="0" borderId="2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justify" vertical="center"/>
    </xf>
    <xf numFmtId="3" fontId="27" fillId="0" borderId="65" xfId="0" applyNumberFormat="1" applyFont="1" applyBorder="1" applyAlignment="1">
      <alignment horizontal="right" vertical="center"/>
    </xf>
    <xf numFmtId="3" fontId="27" fillId="0" borderId="77" xfId="0" applyNumberFormat="1" applyFont="1" applyBorder="1" applyAlignment="1">
      <alignment horizontal="right" vertical="center"/>
    </xf>
    <xf numFmtId="3" fontId="27" fillId="0" borderId="7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27" fillId="0" borderId="34" xfId="0" applyNumberFormat="1" applyFont="1" applyBorder="1" applyAlignment="1">
      <alignment horizontal="right"/>
    </xf>
    <xf numFmtId="3" fontId="27" fillId="0" borderId="44" xfId="0" applyNumberFormat="1" applyFont="1" applyBorder="1" applyAlignment="1">
      <alignment horizontal="right"/>
    </xf>
    <xf numFmtId="3" fontId="30" fillId="0" borderId="65" xfId="0" applyNumberFormat="1" applyFont="1" applyFill="1" applyBorder="1" applyAlignment="1" applyProtection="1">
      <alignment horizontal="right"/>
      <protection/>
    </xf>
    <xf numFmtId="3" fontId="30" fillId="0" borderId="65" xfId="0" applyNumberFormat="1" applyFont="1" applyFill="1" applyBorder="1" applyAlignment="1">
      <alignment horizontal="right"/>
    </xf>
    <xf numFmtId="3" fontId="27" fillId="0" borderId="37" xfId="0" applyNumberFormat="1" applyFont="1" applyBorder="1" applyAlignment="1">
      <alignment horizontal="center"/>
    </xf>
    <xf numFmtId="3" fontId="27" fillId="0" borderId="80" xfId="0" applyNumberFormat="1" applyFont="1" applyBorder="1" applyAlignment="1">
      <alignment horizontal="right"/>
    </xf>
    <xf numFmtId="3" fontId="27" fillId="0" borderId="81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/>
    </xf>
    <xf numFmtId="3" fontId="5" fillId="0" borderId="71" xfId="0" applyNumberFormat="1" applyFont="1" applyFill="1" applyBorder="1" applyAlignment="1">
      <alignment horizontal="center"/>
    </xf>
    <xf numFmtId="3" fontId="0" fillId="0" borderId="7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30" fillId="0" borderId="82" xfId="0" applyNumberFormat="1" applyFont="1" applyFill="1" applyBorder="1" applyAlignment="1" applyProtection="1">
      <alignment horizontal="right" vertical="center"/>
      <protection/>
    </xf>
    <xf numFmtId="3" fontId="30" fillId="0" borderId="35" xfId="0" applyNumberFormat="1" applyFont="1" applyFill="1" applyBorder="1" applyAlignment="1" applyProtection="1">
      <alignment horizontal="right" vertical="center"/>
      <protection/>
    </xf>
    <xf numFmtId="3" fontId="27" fillId="0" borderId="83" xfId="0" applyNumberFormat="1" applyFont="1" applyBorder="1" applyAlignment="1">
      <alignment horizontal="right"/>
    </xf>
    <xf numFmtId="3" fontId="27" fillId="0" borderId="84" xfId="0" applyNumberFormat="1" applyFont="1" applyBorder="1" applyAlignment="1">
      <alignment horizontal="right"/>
    </xf>
    <xf numFmtId="3" fontId="27" fillId="0" borderId="85" xfId="0" applyNumberFormat="1" applyFont="1" applyBorder="1" applyAlignment="1">
      <alignment horizontal="right"/>
    </xf>
    <xf numFmtId="3" fontId="27" fillId="0" borderId="82" xfId="0" applyNumberFormat="1" applyFont="1" applyBorder="1" applyAlignment="1">
      <alignment horizontal="right"/>
    </xf>
    <xf numFmtId="3" fontId="27" fillId="0" borderId="86" xfId="0" applyNumberFormat="1" applyFont="1" applyBorder="1" applyAlignment="1">
      <alignment horizontal="right"/>
    </xf>
    <xf numFmtId="3" fontId="27" fillId="0" borderId="65" xfId="0" applyNumberFormat="1" applyFont="1" applyBorder="1" applyAlignment="1">
      <alignment horizontal="right"/>
    </xf>
    <xf numFmtId="1" fontId="6" fillId="0" borderId="37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 applyProtection="1">
      <alignment/>
      <protection/>
    </xf>
    <xf numFmtId="1" fontId="6" fillId="0" borderId="63" xfId="0" applyNumberFormat="1" applyFont="1" applyFill="1" applyBorder="1" applyAlignment="1">
      <alignment horizontal="center"/>
    </xf>
    <xf numFmtId="3" fontId="6" fillId="0" borderId="87" xfId="0" applyNumberFormat="1" applyFont="1" applyFill="1" applyBorder="1" applyAlignment="1">
      <alignment/>
    </xf>
    <xf numFmtId="3" fontId="6" fillId="0" borderId="87" xfId="0" applyNumberFormat="1" applyFont="1" applyFill="1" applyBorder="1" applyAlignment="1">
      <alignment horizontal="right"/>
    </xf>
    <xf numFmtId="3" fontId="6" fillId="0" borderId="64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 horizontal="right"/>
    </xf>
    <xf numFmtId="3" fontId="6" fillId="0" borderId="71" xfId="0" applyNumberFormat="1" applyFont="1" applyFill="1" applyBorder="1" applyAlignment="1" applyProtection="1">
      <alignment horizontal="right"/>
      <protection/>
    </xf>
    <xf numFmtId="1" fontId="6" fillId="0" borderId="88" xfId="0" applyNumberFormat="1" applyFont="1" applyFill="1" applyBorder="1" applyAlignment="1">
      <alignment horizontal="center"/>
    </xf>
    <xf numFmtId="3" fontId="6" fillId="0" borderId="89" xfId="0" applyNumberFormat="1" applyFont="1" applyFill="1" applyBorder="1" applyAlignment="1">
      <alignment/>
    </xf>
    <xf numFmtId="3" fontId="6" fillId="0" borderId="89" xfId="0" applyNumberFormat="1" applyFont="1" applyFill="1" applyBorder="1" applyAlignment="1">
      <alignment horizontal="right"/>
    </xf>
    <xf numFmtId="3" fontId="6" fillId="0" borderId="90" xfId="0" applyNumberFormat="1" applyFont="1" applyFill="1" applyBorder="1" applyAlignment="1" applyProtection="1">
      <alignment/>
      <protection/>
    </xf>
    <xf numFmtId="1" fontId="6" fillId="0" borderId="88" xfId="0" applyNumberFormat="1" applyFont="1" applyFill="1" applyBorder="1" applyAlignment="1" applyProtection="1">
      <alignment/>
      <protection/>
    </xf>
    <xf numFmtId="1" fontId="6" fillId="0" borderId="88" xfId="0" applyNumberFormat="1" applyFont="1" applyFill="1" applyBorder="1" applyAlignment="1">
      <alignment/>
    </xf>
    <xf numFmtId="3" fontId="6" fillId="0" borderId="89" xfId="0" applyNumberFormat="1" applyFont="1" applyFill="1" applyBorder="1" applyAlignment="1" applyProtection="1">
      <alignment/>
      <protection/>
    </xf>
    <xf numFmtId="182" fontId="6" fillId="0" borderId="90" xfId="0" applyNumberFormat="1" applyFont="1" applyFill="1" applyBorder="1" applyAlignment="1">
      <alignment/>
    </xf>
    <xf numFmtId="182" fontId="6" fillId="0" borderId="30" xfId="0" applyNumberFormat="1" applyFont="1" applyFill="1" applyBorder="1" applyAlignment="1" applyProtection="1">
      <alignment/>
      <protection/>
    </xf>
    <xf numFmtId="182" fontId="6" fillId="0" borderId="87" xfId="0" applyNumberFormat="1" applyFont="1" applyFill="1" applyBorder="1" applyAlignment="1">
      <alignment/>
    </xf>
    <xf numFmtId="182" fontId="6" fillId="0" borderId="64" xfId="0" applyNumberFormat="1" applyFont="1" applyFill="1" applyBorder="1" applyAlignment="1" applyProtection="1">
      <alignment/>
      <protection/>
    </xf>
    <xf numFmtId="182" fontId="6" fillId="0" borderId="89" xfId="0" applyNumberFormat="1" applyFont="1" applyFill="1" applyBorder="1" applyAlignment="1">
      <alignment/>
    </xf>
    <xf numFmtId="182" fontId="6" fillId="0" borderId="90" xfId="0" applyNumberFormat="1" applyFont="1" applyFill="1" applyBorder="1" applyAlignment="1" applyProtection="1">
      <alignment/>
      <protection/>
    </xf>
    <xf numFmtId="181" fontId="5" fillId="3" borderId="37" xfId="0" applyNumberFormat="1" applyFont="1" applyFill="1" applyBorder="1" applyAlignment="1" applyProtection="1">
      <alignment horizontal="center"/>
      <protection/>
    </xf>
    <xf numFmtId="181" fontId="5" fillId="3" borderId="0" xfId="0" applyNumberFormat="1" applyFont="1" applyFill="1" applyBorder="1" applyAlignment="1" applyProtection="1">
      <alignment horizontal="center"/>
      <protection/>
    </xf>
    <xf numFmtId="181" fontId="1" fillId="3" borderId="0" xfId="0" applyNumberFormat="1" applyFont="1" applyFill="1" applyBorder="1" applyAlignment="1" applyProtection="1">
      <alignment/>
      <protection/>
    </xf>
    <xf numFmtId="183" fontId="1" fillId="0" borderId="30" xfId="0" applyNumberFormat="1" applyFont="1" applyFill="1" applyBorder="1" applyAlignment="1" applyProtection="1">
      <alignment/>
      <protection/>
    </xf>
    <xf numFmtId="49" fontId="40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182" fontId="40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182" fontId="4" fillId="0" borderId="0" xfId="0" applyNumberFormat="1" applyFont="1" applyFill="1" applyBorder="1" applyAlignment="1" applyProtection="1">
      <alignment/>
      <protection/>
    </xf>
    <xf numFmtId="182" fontId="10" fillId="0" borderId="0" xfId="0" applyNumberFormat="1" applyFont="1" applyBorder="1" applyAlignment="1">
      <alignment/>
    </xf>
    <xf numFmtId="182" fontId="10" fillId="0" borderId="36" xfId="0" applyNumberFormat="1" applyFont="1" applyBorder="1" applyAlignment="1" applyProtection="1">
      <alignment horizontal="centerContinuous"/>
      <protection/>
    </xf>
    <xf numFmtId="182" fontId="10" fillId="0" borderId="36" xfId="0" applyNumberFormat="1" applyFont="1" applyBorder="1" applyAlignment="1">
      <alignment horizontal="centerContinuous"/>
    </xf>
    <xf numFmtId="182" fontId="4" fillId="0" borderId="36" xfId="0" applyNumberFormat="1" applyFont="1" applyFill="1" applyBorder="1" applyAlignment="1" applyProtection="1">
      <alignment/>
      <protection/>
    </xf>
    <xf numFmtId="182" fontId="10" fillId="0" borderId="36" xfId="0" applyNumberFormat="1" applyFont="1" applyBorder="1" applyAlignment="1">
      <alignment/>
    </xf>
    <xf numFmtId="182" fontId="4" fillId="0" borderId="36" xfId="0" applyNumberFormat="1" applyFont="1" applyFill="1" applyBorder="1" applyAlignment="1" applyProtection="1">
      <alignment horizontal="center"/>
      <protection/>
    </xf>
    <xf numFmtId="182" fontId="41" fillId="0" borderId="0" xfId="0" applyNumberFormat="1" applyFont="1" applyFill="1" applyBorder="1" applyAlignment="1">
      <alignment/>
    </xf>
    <xf numFmtId="182" fontId="12" fillId="0" borderId="0" xfId="0" applyNumberFormat="1" applyFont="1" applyBorder="1" applyAlignment="1">
      <alignment/>
    </xf>
    <xf numFmtId="182" fontId="41" fillId="0" borderId="32" xfId="0" applyNumberFormat="1" applyFont="1" applyFill="1" applyBorder="1" applyAlignment="1" applyProtection="1">
      <alignment/>
      <protection/>
    </xf>
    <xf numFmtId="182" fontId="12" fillId="0" borderId="32" xfId="0" applyNumberFormat="1" applyFont="1" applyBorder="1" applyAlignment="1">
      <alignment/>
    </xf>
    <xf numFmtId="182" fontId="12" fillId="0" borderId="32" xfId="0" applyNumberFormat="1" applyFont="1" applyBorder="1" applyAlignment="1" applyProtection="1">
      <alignment/>
      <protection/>
    </xf>
    <xf numFmtId="182" fontId="41" fillId="0" borderId="32" xfId="0" applyNumberFormat="1" applyFont="1" applyFill="1" applyBorder="1" applyAlignment="1">
      <alignment/>
    </xf>
    <xf numFmtId="182" fontId="41" fillId="0" borderId="32" xfId="0" applyNumberFormat="1" applyFont="1" applyFill="1" applyBorder="1" applyAlignment="1" applyProtection="1">
      <alignment/>
      <protection/>
    </xf>
    <xf numFmtId="182" fontId="41" fillId="0" borderId="0" xfId="0" applyNumberFormat="1" applyFont="1" applyFill="1" applyBorder="1" applyAlignment="1" applyProtection="1">
      <alignment/>
      <protection/>
    </xf>
    <xf numFmtId="182" fontId="41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>
      <alignment/>
    </xf>
    <xf numFmtId="182" fontId="12" fillId="0" borderId="36" xfId="0" applyNumberFormat="1" applyFont="1" applyBorder="1" applyAlignment="1" applyProtection="1">
      <alignment/>
      <protection/>
    </xf>
    <xf numFmtId="182" fontId="1" fillId="0" borderId="0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Alignment="1">
      <alignment horizontal="right"/>
    </xf>
    <xf numFmtId="3" fontId="6" fillId="0" borderId="3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34" xfId="0" applyNumberFormat="1" applyFont="1" applyFill="1" applyBorder="1" applyAlignment="1" applyProtection="1">
      <alignment/>
      <protection/>
    </xf>
    <xf numFmtId="3" fontId="6" fillId="0" borderId="43" xfId="0" applyNumberFormat="1" applyFont="1" applyFill="1" applyBorder="1" applyAlignment="1" applyProtection="1">
      <alignment/>
      <protection/>
    </xf>
    <xf numFmtId="182" fontId="41" fillId="0" borderId="60" xfId="0" applyNumberFormat="1" applyFont="1" applyFill="1" applyBorder="1" applyAlignment="1">
      <alignment/>
    </xf>
    <xf numFmtId="182" fontId="41" fillId="0" borderId="60" xfId="0" applyNumberFormat="1" applyFont="1" applyFill="1" applyBorder="1" applyAlignment="1" applyProtection="1">
      <alignment/>
      <protection/>
    </xf>
    <xf numFmtId="182" fontId="29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15" fillId="0" borderId="48" xfId="0" applyNumberFormat="1" applyFont="1" applyFill="1" applyBorder="1" applyAlignment="1">
      <alignment horizontal="center" vertical="center"/>
    </xf>
    <xf numFmtId="3" fontId="15" fillId="0" borderId="4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EN PORCENTAJE DE LA PRODUCCIÓN DE PETRÓLEO 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'31PP'!$L$10:$L$13</c:f>
              <c:strCache/>
            </c:strRef>
          </c:cat>
          <c:val>
            <c:numRef>
              <c:f>'31PP'!$M$10:$M$13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COMPARACIÓN ANUAL DE LAS PRODUCCIONES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825"/>
          <c:w val="0.67225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CRUDO</c:v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 '!$D$7:$E$7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'312CP '!$D$15:$E$15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GAS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 '!$D$7:$E$7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'312CP '!$D$25:$E$25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90"/>
        <c:axId val="32314568"/>
        <c:axId val="22395657"/>
      </c:barChart>
      <c:catAx>
        <c:axId val="32314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Tm y/o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31456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775"/>
          <c:y val="0.45975"/>
          <c:w val="0.20075"/>
          <c:h val="0.13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CRUDO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075"/>
          <c:w val="0.875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'32PMC'!$K$8</c:f>
              <c:strCache>
                <c:ptCount val="1"/>
                <c:pt idx="0">
                  <c:v>Bbl.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'32PMC'!$A$10:$A$21</c:f>
              <c:strCache/>
            </c:strRef>
          </c:cat>
          <c:val>
            <c:numRef>
              <c:f>'32PMC'!$K$10:$K$21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507512"/>
        <c:axId val="56805561"/>
      </c:lineChart>
      <c:dateAx>
        <c:axId val="58507512"/>
        <c:scaling>
          <c:orientation val="minMax"/>
          <c:max val="39052"/>
          <c:min val="387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6805561"/>
        <c:crossesAt val="0"/>
        <c:auto val="0"/>
        <c:baseTimeUnit val="months"/>
        <c:minorUnit val="1"/>
        <c:minorTimeUnit val="months"/>
        <c:noMultiLvlLbl val="0"/>
      </c:dateAx>
      <c:valAx>
        <c:axId val="56805561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Barriles (Bbl.)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8507512"/>
        <c:crossesAt val="1236"/>
        <c:crossBetween val="midCat"/>
        <c:dispUnits/>
        <c:majorUnit val="50000"/>
        <c:minorUnit val="50000"/>
      </c:valAx>
      <c:spPr>
        <a:solidFill>
          <a:srgbClr val="FFFFC0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'35PMG'!$B$7:$B$18</c:f>
              <c:strCache/>
            </c:strRef>
          </c:cat>
          <c:val>
            <c:numRef>
              <c:f>'35PMG'!$G$7:$G$18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1488002"/>
        <c:axId val="37847699"/>
      </c:lineChart>
      <c:dateAx>
        <c:axId val="41488002"/>
        <c:scaling>
          <c:orientation val="minMax"/>
          <c:max val="39052"/>
          <c:min val="387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78476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847699"/>
        <c:scaling>
          <c:orientation val="minMax"/>
          <c:max val="6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Nm</a:t>
                </a:r>
                <a:r>
                  <a:rPr lang="en-US" cap="none" sz="1000" b="1" i="0" u="none" baseline="3000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At val="1236"/>
        <c:crossBetween val="midCat"/>
        <c:dispUnits/>
        <c:majorUnit val="10000000"/>
        <c:minorUnit val="1000000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DESGLOSE PRODUCCIÓN ANUAL (Tm / T.E.P.)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315"/>
          <c:w val="0.966"/>
          <c:h val="0.45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'36SPPG'!$B$11</c:f>
              <c:strCache>
                <c:ptCount val="1"/>
                <c:pt idx="0">
                  <c:v>LORA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'36SPPG'!$B$12</c:f>
              <c:strCache>
                <c:ptCount val="1"/>
                <c:pt idx="0">
                  <c:v>UNITIZACION CASABLANCA-MONTANAZO 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'36SPPG'!$B$13</c:f>
              <c:strCache>
                <c:ptCount val="1"/>
                <c:pt idx="0">
                  <c:v>RODABALLO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'36SPPG'!$B$14</c:f>
              <c:strCache>
                <c:ptCount val="1"/>
                <c:pt idx="0">
                  <c:v>UNITIZACION ANGULA-CASABLANCA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'36SPPG'!$B$15</c:f>
              <c:strCache>
                <c:ptCount val="1"/>
                <c:pt idx="0">
                  <c:v>POSEIDÓN         (*)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'36SPPG'!$B$16</c:f>
              <c:strCache>
                <c:ptCount val="1"/>
                <c:pt idx="0">
                  <c:v>EL RUEDO         (*)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6"/>
          <c:tx>
            <c:strRef>
              <c:f>'36SPPG'!$B$17</c:f>
              <c:strCache>
                <c:ptCount val="1"/>
                <c:pt idx="0">
                  <c:v>LAS BARRERAS (*)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7"/>
          <c:tx>
            <c:strRef>
              <c:f>'36SPPG'!$B$18</c:f>
              <c:strCache>
                <c:ptCount val="1"/>
                <c:pt idx="0">
                  <c:v>EL ROMERAL     (*)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084972"/>
        <c:axId val="45764749"/>
      </c:bar3DChart>
      <c:catAx>
        <c:axId val="5084972"/>
        <c:scaling>
          <c:orientation val="minMax"/>
        </c:scaling>
        <c:axPos val="l"/>
        <c:delete val="1"/>
        <c:majorTickMark val="out"/>
        <c:minorTickMark val="none"/>
        <c:tickLblPos val="low"/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  <c:max val="500000"/>
          <c:min val="0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084972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65775"/>
          <c:w val="0.6115"/>
          <c:h val="0.3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PRODUCCIÓN ANUAL DE PETRÓLEO (últimos 5 años)</a:t>
            </a:r>
          </a:p>
        </c:rich>
      </c:tx>
      <c:layout>
        <c:manualLayout>
          <c:xMode val="factor"/>
          <c:yMode val="factor"/>
          <c:x val="0.073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6"/>
          <c:w val="0.903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'39PAP'!$A$46:$A$50</c:f>
              <c:strCache>
                <c:ptCount val="1"/>
                <c:pt idx="0">
                  <c:v>2002 2003 2004 2005 2006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'39PAP'!$A$46:$A$50</c:f>
              <c:numCache/>
            </c:numRef>
          </c:cat>
          <c:val>
            <c:numRef>
              <c:f>'39PAP'!$P$46:$P$50</c:f>
              <c:numCache/>
            </c:numRef>
          </c:val>
          <c:smooth val="0"/>
        </c:ser>
        <c:axId val="9229558"/>
        <c:axId val="15957159"/>
      </c:line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de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PRODUCCIÓN ANUAL DE GAS (últimos 5 años)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'310PAG '!$A$45:$A$49</c:f>
              <c:numCache/>
            </c:numRef>
          </c:cat>
          <c:val>
            <c:numRef>
              <c:f>'310PAG '!$O$45:$O$49</c:f>
              <c:numCache/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Miles de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396704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PETRÓLEO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 '!$A$44:$A$48</c:f>
              <c:numCache/>
            </c:numRef>
          </c:cat>
          <c:val>
            <c:numRef>
              <c:f>'311PAGyP '!$C$44:$C$48</c:f>
              <c:numCache/>
            </c:numRef>
          </c:val>
        </c:ser>
        <c:overlap val="100"/>
        <c:axId val="22935530"/>
        <c:axId val="5093179"/>
      </c:bar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 '!$A$44:$A$48</c:f>
              <c:numCache/>
            </c:numRef>
          </c:cat>
          <c:val>
            <c:numRef>
              <c:f>'311PAGyP '!$E$44:$E$48</c:f>
              <c:numCache/>
            </c:numRef>
          </c:val>
        </c:ser>
        <c:overlap val="100"/>
        <c:axId val="45838612"/>
        <c:axId val="9894325"/>
      </c:bar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
(Miles de Tm y/o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 '!$A$44:$A$48</c:f>
              <c:numCache/>
            </c:numRef>
          </c:cat>
          <c:val>
            <c:numRef>
              <c:f>'311PAGyP '!$C$44:$C$48</c:f>
              <c:numCache/>
            </c:numRef>
          </c:val>
        </c:ser>
        <c:ser>
          <c:idx val="1"/>
          <c:order val="1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 '!$A$44:$A$48</c:f>
              <c:numCache/>
            </c:numRef>
          </c:cat>
          <c:val>
            <c:numRef>
              <c:f>'311PAGyP '!$D$43:$D$47</c:f>
              <c:numCache/>
            </c:numRef>
          </c:val>
        </c:ser>
        <c:ser>
          <c:idx val="2"/>
          <c:order val="2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 '!$A$44:$A$48</c:f>
              <c:numCache/>
            </c:numRef>
          </c:cat>
          <c:val>
            <c:numRef>
              <c:f>'311PAGyP '!$E$43:$E$47</c:f>
              <c:numCache/>
            </c:numRef>
          </c:val>
        </c:ser>
        <c:overlap val="100"/>
        <c:axId val="21940062"/>
        <c:axId val="63242831"/>
      </c:barChart>
      <c:catAx>
        <c:axId val="2194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940062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38</xdr:row>
      <xdr:rowOff>19050</xdr:rowOff>
    </xdr:from>
    <xdr:to>
      <xdr:col>7</xdr:col>
      <xdr:colOff>495300</xdr:colOff>
      <xdr:row>55</xdr:row>
      <xdr:rowOff>152400</xdr:rowOff>
    </xdr:to>
    <xdr:graphicFrame>
      <xdr:nvGraphicFramePr>
        <xdr:cNvPr id="1" name="Chart 2"/>
        <xdr:cNvGraphicFramePr/>
      </xdr:nvGraphicFramePr>
      <xdr:xfrm>
        <a:off x="685800" y="6248400"/>
        <a:ext cx="46767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26</xdr:row>
      <xdr:rowOff>28575</xdr:rowOff>
    </xdr:from>
    <xdr:to>
      <xdr:col>8</xdr:col>
      <xdr:colOff>485775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1419225" y="4333875"/>
        <a:ext cx="5581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9525</xdr:rowOff>
    </xdr:from>
    <xdr:to>
      <xdr:col>6</xdr:col>
      <xdr:colOff>476250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14300" y="3257550"/>
        <a:ext cx="53340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28575</xdr:rowOff>
    </xdr:from>
    <xdr:to>
      <xdr:col>9</xdr:col>
      <xdr:colOff>904875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323850" y="5162550"/>
        <a:ext cx="5676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8</xdr:row>
      <xdr:rowOff>28575</xdr:rowOff>
    </xdr:from>
    <xdr:to>
      <xdr:col>13</xdr:col>
      <xdr:colOff>895350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5200650" y="1381125"/>
        <a:ext cx="4781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19050</xdr:rowOff>
    </xdr:from>
    <xdr:to>
      <xdr:col>10</xdr:col>
      <xdr:colOff>371475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24200" y="1228725"/>
        <a:ext cx="4191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114300</xdr:rowOff>
    </xdr:from>
    <xdr:to>
      <xdr:col>2</xdr:col>
      <xdr:colOff>2314575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714375" y="1790700"/>
        <a:ext cx="22288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10</xdr:row>
      <xdr:rowOff>104775</xdr:rowOff>
    </xdr:from>
    <xdr:to>
      <xdr:col>4</xdr:col>
      <xdr:colOff>2352675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3905250" y="1781175"/>
        <a:ext cx="22383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10</xdr:row>
      <xdr:rowOff>104775</xdr:rowOff>
    </xdr:from>
    <xdr:to>
      <xdr:col>6</xdr:col>
      <xdr:colOff>2362200</xdr:colOff>
      <xdr:row>40</xdr:row>
      <xdr:rowOff>142875</xdr:rowOff>
    </xdr:to>
    <xdr:graphicFrame>
      <xdr:nvGraphicFramePr>
        <xdr:cNvPr id="3" name="Chart 3"/>
        <xdr:cNvGraphicFramePr/>
      </xdr:nvGraphicFramePr>
      <xdr:xfrm>
        <a:off x="7058025" y="1781175"/>
        <a:ext cx="225742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133350</xdr:rowOff>
    </xdr:from>
    <xdr:to>
      <xdr:col>6</xdr:col>
      <xdr:colOff>581025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81000" y="6267450"/>
        <a:ext cx="54006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L60" sqref="L60"/>
    </sheetView>
  </sheetViews>
  <sheetFormatPr defaultColWidth="11.421875" defaultRowHeight="12.75"/>
  <cols>
    <col min="1" max="1" width="15.7109375" style="56" customWidth="1"/>
    <col min="2" max="2" width="11.7109375" style="56" customWidth="1"/>
    <col min="3" max="3" width="10.7109375" style="56" customWidth="1"/>
    <col min="4" max="4" width="7.7109375" style="56" customWidth="1"/>
    <col min="5" max="5" width="1.7109375" style="56" customWidth="1"/>
    <col min="6" max="7" width="12.7109375" style="56" customWidth="1"/>
    <col min="8" max="8" width="7.7109375" style="56" customWidth="1"/>
    <col min="9" max="9" width="1.7109375" style="56" customWidth="1"/>
    <col min="10" max="10" width="11.8515625" style="56" customWidth="1"/>
    <col min="11" max="11" width="11.421875" style="56" customWidth="1"/>
    <col min="12" max="12" width="16.28125" style="56" customWidth="1"/>
    <col min="13" max="13" width="8.7109375" style="56" customWidth="1"/>
    <col min="14" max="16384" width="11.421875" style="56" customWidth="1"/>
  </cols>
  <sheetData>
    <row r="1" ht="15.75">
      <c r="A1" s="61" t="s">
        <v>114</v>
      </c>
    </row>
    <row r="4" ht="13.5" thickBot="1"/>
    <row r="5" spans="1:11" ht="13.5" thickTop="1">
      <c r="A5" s="79"/>
      <c r="B5" s="80"/>
      <c r="C5" s="80"/>
      <c r="D5" s="80"/>
      <c r="E5" s="80"/>
      <c r="F5" s="80"/>
      <c r="G5" s="80"/>
      <c r="H5" s="80"/>
      <c r="I5" s="80"/>
      <c r="J5" s="81"/>
      <c r="K5" s="57"/>
    </row>
    <row r="6" spans="1:11" ht="12.75">
      <c r="A6" s="82"/>
      <c r="B6" s="66"/>
      <c r="C6" s="66"/>
      <c r="D6" s="66"/>
      <c r="E6" s="66"/>
      <c r="F6" s="68" t="s">
        <v>115</v>
      </c>
      <c r="G6" s="69"/>
      <c r="H6" s="69"/>
      <c r="I6" s="69"/>
      <c r="J6" s="83"/>
      <c r="K6" s="57"/>
    </row>
    <row r="7" spans="1:11" ht="12.75">
      <c r="A7" s="82"/>
      <c r="B7" s="97" t="s">
        <v>116</v>
      </c>
      <c r="C7" s="99"/>
      <c r="D7" s="99"/>
      <c r="E7" s="69"/>
      <c r="F7" s="97" t="s">
        <v>0</v>
      </c>
      <c r="G7" s="99"/>
      <c r="H7" s="99"/>
      <c r="I7" s="69"/>
      <c r="J7" s="83"/>
      <c r="K7" s="57"/>
    </row>
    <row r="8" spans="1:13" ht="12.75">
      <c r="A8" s="84" t="s">
        <v>1</v>
      </c>
      <c r="B8" s="65"/>
      <c r="C8" s="65"/>
      <c r="D8" s="65"/>
      <c r="E8" s="65"/>
      <c r="F8" s="65"/>
      <c r="G8" s="65"/>
      <c r="H8" s="65"/>
      <c r="I8" s="65"/>
      <c r="J8" s="85" t="s">
        <v>2</v>
      </c>
      <c r="K8" s="57"/>
      <c r="L8" s="450" t="s">
        <v>107</v>
      </c>
      <c r="M8" s="450"/>
    </row>
    <row r="9" spans="1:11" ht="12.75">
      <c r="A9" s="86" t="s">
        <v>3</v>
      </c>
      <c r="B9" s="78" t="s">
        <v>150</v>
      </c>
      <c r="C9" s="78" t="s">
        <v>149</v>
      </c>
      <c r="D9" s="78" t="s">
        <v>87</v>
      </c>
      <c r="E9" s="78"/>
      <c r="F9" s="78" t="s">
        <v>150</v>
      </c>
      <c r="G9" s="78" t="s">
        <v>149</v>
      </c>
      <c r="H9" s="78" t="s">
        <v>87</v>
      </c>
      <c r="I9" s="78"/>
      <c r="J9" s="87" t="s">
        <v>4</v>
      </c>
      <c r="K9" s="57"/>
    </row>
    <row r="10" spans="1:13" ht="12.75">
      <c r="A10" s="90"/>
      <c r="B10" s="57"/>
      <c r="C10" s="57"/>
      <c r="D10" s="57"/>
      <c r="E10" s="57"/>
      <c r="F10" s="57"/>
      <c r="G10" s="57"/>
      <c r="H10" s="57"/>
      <c r="I10" s="57"/>
      <c r="J10" s="92"/>
      <c r="K10" s="57"/>
      <c r="L10" s="56" t="s">
        <v>5</v>
      </c>
      <c r="M10" s="330">
        <f>+D11/100</f>
        <v>0.03850983973855836</v>
      </c>
    </row>
    <row r="11" spans="1:13" ht="12.75">
      <c r="A11" s="88" t="s">
        <v>88</v>
      </c>
      <c r="B11" s="60">
        <f>+'32PMC'!C23</f>
        <v>39233</v>
      </c>
      <c r="C11" s="60">
        <f>+'32PMC'!B23</f>
        <v>5397</v>
      </c>
      <c r="D11" s="62">
        <f>(+C11/C$23)*100</f>
        <v>3.850983973855836</v>
      </c>
      <c r="E11" s="62"/>
      <c r="F11" s="60">
        <f>+'33PAC'!C23</f>
        <v>17002570</v>
      </c>
      <c r="G11" s="60">
        <f>+'33PAC'!B23</f>
        <v>2275841</v>
      </c>
      <c r="H11" s="62">
        <f>(+G11/G$23)*100</f>
        <v>9.647709373735132</v>
      </c>
      <c r="I11" s="62"/>
      <c r="J11" s="89" t="s">
        <v>106</v>
      </c>
      <c r="K11" s="57"/>
      <c r="L11" s="56" t="s">
        <v>40</v>
      </c>
      <c r="M11" s="330">
        <f>+D14/100</f>
        <v>0.4764031795413355</v>
      </c>
    </row>
    <row r="12" spans="1:13" ht="12.75">
      <c r="A12" s="90"/>
      <c r="D12" s="62"/>
      <c r="E12" s="62"/>
      <c r="H12" s="60"/>
      <c r="I12" s="60"/>
      <c r="J12" s="91"/>
      <c r="K12" s="57"/>
      <c r="L12" s="56" t="s">
        <v>11</v>
      </c>
      <c r="M12" s="330">
        <f>+D17/100</f>
        <v>0.25254377577669</v>
      </c>
    </row>
    <row r="13" spans="1:13" ht="12.75">
      <c r="A13" s="88" t="s">
        <v>89</v>
      </c>
      <c r="D13" s="62"/>
      <c r="E13" s="62"/>
      <c r="H13" s="60"/>
      <c r="I13" s="60"/>
      <c r="J13" s="91"/>
      <c r="K13" s="57"/>
      <c r="L13" s="56" t="s">
        <v>42</v>
      </c>
      <c r="M13" s="330">
        <f>+D20/100</f>
        <v>0.23254320494341615</v>
      </c>
    </row>
    <row r="14" spans="1:11" ht="12.75">
      <c r="A14" s="88" t="s">
        <v>8</v>
      </c>
      <c r="B14" s="60">
        <f>+'32PMC'!E23</f>
        <v>484044</v>
      </c>
      <c r="C14" s="60">
        <f>+'32PMC'!D23</f>
        <v>66766</v>
      </c>
      <c r="D14" s="62">
        <f>(+C14/C$23)*100</f>
        <v>47.64031795413355</v>
      </c>
      <c r="E14" s="62"/>
      <c r="F14" s="60">
        <f>+'33PAC'!E23</f>
        <v>144100488</v>
      </c>
      <c r="G14" s="60">
        <f>+'33PAC'!D23</f>
        <v>19716813</v>
      </c>
      <c r="H14" s="62">
        <f>(+G14/G$23)*100</f>
        <v>83.58320357190276</v>
      </c>
      <c r="I14" s="62"/>
      <c r="J14" s="89" t="s">
        <v>6</v>
      </c>
      <c r="K14" s="57"/>
    </row>
    <row r="15" spans="1:11" ht="12.75">
      <c r="A15" s="88" t="s">
        <v>9</v>
      </c>
      <c r="D15" s="62"/>
      <c r="E15" s="62"/>
      <c r="H15" s="60"/>
      <c r="I15" s="60"/>
      <c r="J15" s="91"/>
      <c r="K15" s="57"/>
    </row>
    <row r="16" spans="1:11" ht="12.75">
      <c r="A16" s="90"/>
      <c r="B16" s="57"/>
      <c r="C16" s="57"/>
      <c r="D16" s="63"/>
      <c r="E16" s="63"/>
      <c r="F16" s="57"/>
      <c r="G16" s="57"/>
      <c r="H16" s="5"/>
      <c r="I16" s="5"/>
      <c r="J16" s="92"/>
      <c r="K16" s="57"/>
    </row>
    <row r="17" spans="1:11" ht="12.75">
      <c r="A17" s="88" t="s">
        <v>90</v>
      </c>
      <c r="B17" s="60">
        <f>+'32PMC'!G23</f>
        <v>273973</v>
      </c>
      <c r="C17" s="60">
        <f>+'32PMC'!F23</f>
        <v>35393</v>
      </c>
      <c r="D17" s="62">
        <f>(+C17/C$23)*100</f>
        <v>25.254377577669</v>
      </c>
      <c r="E17" s="62"/>
      <c r="F17" s="60">
        <f>+'33PAC'!G23</f>
        <v>6962410</v>
      </c>
      <c r="G17" s="60">
        <f>+'33PAC'!F23</f>
        <v>909334</v>
      </c>
      <c r="H17" s="62">
        <f>(+G17/G$23)*100</f>
        <v>3.8548343911793763</v>
      </c>
      <c r="I17" s="62"/>
      <c r="J17" s="89" t="s">
        <v>6</v>
      </c>
      <c r="K17" s="57"/>
    </row>
    <row r="18" spans="1:11" ht="12.75">
      <c r="A18" s="88"/>
      <c r="B18" s="60"/>
      <c r="C18" s="60"/>
      <c r="D18" s="62"/>
      <c r="E18" s="62"/>
      <c r="F18" s="60"/>
      <c r="G18" s="60"/>
      <c r="H18" s="62"/>
      <c r="I18" s="62"/>
      <c r="J18" s="89"/>
      <c r="K18" s="57"/>
    </row>
    <row r="19" spans="1:11" ht="12.75">
      <c r="A19" s="88" t="s">
        <v>91</v>
      </c>
      <c r="D19" s="62"/>
      <c r="E19" s="62"/>
      <c r="H19" s="60"/>
      <c r="I19" s="60"/>
      <c r="J19" s="91"/>
      <c r="K19" s="57"/>
    </row>
    <row r="20" spans="1:11" ht="12.75">
      <c r="A20" s="88" t="s">
        <v>12</v>
      </c>
      <c r="B20" s="56">
        <f>+'32PMC'!I23</f>
        <v>248009</v>
      </c>
      <c r="C20" s="56">
        <f>+'32PMC'!H23</f>
        <v>32590</v>
      </c>
      <c r="D20" s="62">
        <f>(+C20/C$23)*100</f>
        <v>23.254320494341616</v>
      </c>
      <c r="E20" s="62"/>
      <c r="F20" s="56">
        <f>+'33PAC'!I23</f>
        <v>5199002</v>
      </c>
      <c r="G20" s="56">
        <f>+'33PAC'!H23</f>
        <v>687456</v>
      </c>
      <c r="H20" s="62">
        <f>(+G20/G$23)*100</f>
        <v>2.9142526631827357</v>
      </c>
      <c r="I20" s="60"/>
      <c r="J20" s="89" t="s">
        <v>6</v>
      </c>
      <c r="K20" s="57"/>
    </row>
    <row r="21" spans="1:11" ht="12.75">
      <c r="A21" s="88" t="s">
        <v>13</v>
      </c>
      <c r="D21" s="62"/>
      <c r="E21" s="62"/>
      <c r="H21" s="60"/>
      <c r="I21" s="60"/>
      <c r="J21" s="91"/>
      <c r="K21" s="57"/>
    </row>
    <row r="22" spans="1:11" ht="12.75">
      <c r="A22" s="90"/>
      <c r="B22" s="57"/>
      <c r="C22" s="57"/>
      <c r="D22" s="64"/>
      <c r="E22" s="64"/>
      <c r="F22" s="57"/>
      <c r="G22" s="57"/>
      <c r="H22" s="57"/>
      <c r="I22" s="57"/>
      <c r="J22" s="92"/>
      <c r="K22" s="57"/>
    </row>
    <row r="23" spans="1:11" ht="12.75">
      <c r="A23" s="144" t="s">
        <v>14</v>
      </c>
      <c r="B23" s="140">
        <f>SUM(B11:B21)</f>
        <v>1045259</v>
      </c>
      <c r="C23" s="140">
        <f>SUM(C11:C21)</f>
        <v>140146</v>
      </c>
      <c r="D23" s="147">
        <f>SUM(D11:D21)</f>
        <v>100</v>
      </c>
      <c r="E23" s="147"/>
      <c r="F23" s="140">
        <f>SUM(F11:F21)</f>
        <v>173264470</v>
      </c>
      <c r="G23" s="140">
        <f>SUM(G11:G21)</f>
        <v>23589444</v>
      </c>
      <c r="H23" s="147">
        <f>SUM(H11:H21)</f>
        <v>100.00000000000001</v>
      </c>
      <c r="I23" s="147"/>
      <c r="J23" s="148" t="s">
        <v>15</v>
      </c>
      <c r="K23" s="57"/>
    </row>
    <row r="24" spans="1:11" ht="12.75">
      <c r="A24" s="88"/>
      <c r="B24" s="60"/>
      <c r="C24" s="60"/>
      <c r="D24" s="62"/>
      <c r="E24" s="62"/>
      <c r="F24" s="60"/>
      <c r="G24" s="60"/>
      <c r="H24" s="62"/>
      <c r="I24" s="62"/>
      <c r="J24" s="316"/>
      <c r="K24" s="57"/>
    </row>
    <row r="25" spans="1:11" ht="12.75">
      <c r="A25" s="317" t="s">
        <v>54</v>
      </c>
      <c r="B25" s="58" t="s">
        <v>151</v>
      </c>
      <c r="C25" s="60"/>
      <c r="D25" s="62"/>
      <c r="E25" s="62"/>
      <c r="F25" s="60"/>
      <c r="G25" s="60"/>
      <c r="H25" s="62"/>
      <c r="I25" s="62"/>
      <c r="J25" s="316"/>
      <c r="K25" s="57"/>
    </row>
    <row r="26" spans="1:11" ht="13.5" thickBot="1">
      <c r="A26" s="93"/>
      <c r="B26" s="95"/>
      <c r="C26" s="95"/>
      <c r="D26" s="95"/>
      <c r="E26" s="95"/>
      <c r="F26" s="95"/>
      <c r="G26" s="95"/>
      <c r="H26" s="95"/>
      <c r="I26" s="95"/>
      <c r="J26" s="96"/>
      <c r="K26" s="57"/>
    </row>
    <row r="27" spans="1:10" ht="13.5" thickTop="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2" ht="12.75">
      <c r="A28" s="318" t="s">
        <v>96</v>
      </c>
      <c r="B28" s="56" t="s">
        <v>97</v>
      </c>
    </row>
    <row r="29" spans="1:2" ht="12.75">
      <c r="A29" s="318"/>
      <c r="B29" s="56" t="s">
        <v>98</v>
      </c>
    </row>
    <row r="30" ht="12.75">
      <c r="A30" s="318"/>
    </row>
    <row r="31" spans="1:3" ht="12.75">
      <c r="A31" s="315"/>
      <c r="B31" s="315" t="s">
        <v>92</v>
      </c>
      <c r="C31" s="56" t="s">
        <v>99</v>
      </c>
    </row>
    <row r="32" spans="1:2" ht="12.75">
      <c r="A32" s="315"/>
      <c r="B32" s="315"/>
    </row>
    <row r="33" spans="1:3" ht="12.75">
      <c r="A33" s="315"/>
      <c r="B33" s="315" t="s">
        <v>93</v>
      </c>
      <c r="C33" s="56" t="s">
        <v>108</v>
      </c>
    </row>
    <row r="34" spans="1:2" ht="12.75">
      <c r="A34" s="315"/>
      <c r="B34" s="315"/>
    </row>
    <row r="35" spans="1:3" ht="12.75">
      <c r="A35" s="315"/>
      <c r="B35" s="315" t="s">
        <v>94</v>
      </c>
      <c r="C35" s="56" t="s">
        <v>105</v>
      </c>
    </row>
    <row r="36" spans="1:2" ht="12.75">
      <c r="A36" s="315"/>
      <c r="B36" s="315"/>
    </row>
    <row r="37" spans="1:3" ht="12.75">
      <c r="A37" s="315"/>
      <c r="B37" s="315" t="s">
        <v>95</v>
      </c>
      <c r="C37" s="56" t="s">
        <v>100</v>
      </c>
    </row>
    <row r="59" spans="2:4" ht="20.25">
      <c r="B59" s="419"/>
      <c r="C59" s="420"/>
      <c r="D59" s="420"/>
    </row>
    <row r="60" spans="2:7" ht="20.25">
      <c r="B60" s="421"/>
      <c r="C60" s="422"/>
      <c r="D60" s="422"/>
      <c r="E60" s="422"/>
      <c r="F60" s="422"/>
      <c r="G60" s="422"/>
    </row>
  </sheetData>
  <mergeCells count="1">
    <mergeCell ref="L8:M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94" r:id="rId2"/>
  <headerFooter alignWithMargins="0">
    <oddFooter>&amp;C&amp;9 3.1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12.57421875" defaultRowHeight="12.75"/>
  <cols>
    <col min="1" max="1" width="7.7109375" style="205" customWidth="1"/>
    <col min="2" max="2" width="2.7109375" style="45" customWidth="1"/>
    <col min="3" max="11" width="11.7109375" style="45" customWidth="1"/>
    <col min="12" max="12" width="2.7109375" style="45" customWidth="1"/>
    <col min="13" max="13" width="9.7109375" style="45" customWidth="1"/>
    <col min="14" max="14" width="2.7109375" style="45" customWidth="1"/>
    <col min="15" max="15" width="10.7109375" style="56" customWidth="1"/>
    <col min="16" max="16" width="3.57421875" style="45" customWidth="1"/>
    <col min="17" max="16384" width="12.57421875" style="45" customWidth="1"/>
  </cols>
  <sheetData>
    <row r="1" spans="1:3" ht="15.75">
      <c r="A1" s="208" t="s">
        <v>67</v>
      </c>
      <c r="B1" s="46" t="s">
        <v>130</v>
      </c>
      <c r="C1" s="209"/>
    </row>
    <row r="2" spans="1:16" ht="13.5" thickBot="1">
      <c r="A2" s="203"/>
      <c r="B2" s="2"/>
      <c r="C2"/>
      <c r="D2"/>
      <c r="E2" s="2"/>
      <c r="F2" s="2"/>
      <c r="G2" s="2"/>
      <c r="H2" s="2"/>
      <c r="I2" s="2"/>
      <c r="J2" s="2"/>
      <c r="K2" s="2"/>
      <c r="L2" s="2"/>
      <c r="M2" s="2"/>
      <c r="N2" s="2"/>
      <c r="O2"/>
      <c r="P2" s="2"/>
    </row>
    <row r="3" spans="1:16" ht="15" thickTop="1">
      <c r="A3" s="227"/>
      <c r="B3" s="44"/>
      <c r="C3" s="214" t="s">
        <v>68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230" t="s">
        <v>14</v>
      </c>
      <c r="P3" s="2"/>
    </row>
    <row r="4" spans="1:16" ht="12.75">
      <c r="A4" s="220" t="s">
        <v>62</v>
      </c>
      <c r="B4" s="200"/>
      <c r="C4" s="200"/>
      <c r="D4" s="200"/>
      <c r="E4" s="201" t="s">
        <v>60</v>
      </c>
      <c r="F4" s="200"/>
      <c r="G4" s="200"/>
      <c r="H4" s="200"/>
      <c r="I4" s="200"/>
      <c r="J4" s="200" t="s">
        <v>85</v>
      </c>
      <c r="K4" s="200" t="s">
        <v>139</v>
      </c>
      <c r="L4" s="200"/>
      <c r="M4" s="200"/>
      <c r="N4" s="200"/>
      <c r="O4" s="231"/>
      <c r="P4" s="2"/>
    </row>
    <row r="5" spans="1:16" ht="12.75">
      <c r="A5" s="221" t="s">
        <v>63</v>
      </c>
      <c r="B5" s="200"/>
      <c r="C5" s="210" t="s">
        <v>69</v>
      </c>
      <c r="D5" s="210" t="s">
        <v>57</v>
      </c>
      <c r="E5" s="210" t="s">
        <v>66</v>
      </c>
      <c r="F5" s="210" t="s">
        <v>36</v>
      </c>
      <c r="G5" s="210" t="s">
        <v>10</v>
      </c>
      <c r="H5" s="210" t="s">
        <v>123</v>
      </c>
      <c r="I5" s="210" t="s">
        <v>81</v>
      </c>
      <c r="J5" s="210" t="s">
        <v>86</v>
      </c>
      <c r="K5" s="210" t="s">
        <v>140</v>
      </c>
      <c r="L5" s="200"/>
      <c r="M5" s="210" t="s">
        <v>14</v>
      </c>
      <c r="N5" s="200"/>
      <c r="O5" s="232" t="s">
        <v>158</v>
      </c>
      <c r="P5" s="2"/>
    </row>
    <row r="6" spans="1:16" ht="12.75">
      <c r="A6" s="233">
        <v>1963</v>
      </c>
      <c r="C6" s="49">
        <v>3816</v>
      </c>
      <c r="D6" s="211" t="s">
        <v>15</v>
      </c>
      <c r="E6" s="211" t="s">
        <v>15</v>
      </c>
      <c r="F6" s="211" t="s">
        <v>15</v>
      </c>
      <c r="G6" s="211" t="s">
        <v>15</v>
      </c>
      <c r="H6" s="211" t="s">
        <v>15</v>
      </c>
      <c r="I6" s="211" t="s">
        <v>15</v>
      </c>
      <c r="J6" s="211" t="s">
        <v>15</v>
      </c>
      <c r="K6" s="211" t="s">
        <v>15</v>
      </c>
      <c r="L6" s="111"/>
      <c r="M6" s="49">
        <f aca="true" t="shared" si="0" ref="M6:M49">SUM(C6:L6)</f>
        <v>3816</v>
      </c>
      <c r="O6" s="234">
        <f aca="true" t="shared" si="1" ref="O6:O26">M6/1000</f>
        <v>3.816</v>
      </c>
      <c r="P6" s="2"/>
    </row>
    <row r="7" spans="1:16" ht="12.75">
      <c r="A7" s="233">
        <v>1964</v>
      </c>
      <c r="B7" s="2"/>
      <c r="C7" s="49">
        <v>2475</v>
      </c>
      <c r="D7" s="211" t="s">
        <v>15</v>
      </c>
      <c r="E7" s="211" t="s">
        <v>15</v>
      </c>
      <c r="F7" s="211" t="s">
        <v>15</v>
      </c>
      <c r="G7" s="211" t="s">
        <v>15</v>
      </c>
      <c r="H7" s="211" t="s">
        <v>15</v>
      </c>
      <c r="I7" s="211" t="s">
        <v>15</v>
      </c>
      <c r="J7" s="211" t="s">
        <v>15</v>
      </c>
      <c r="K7" s="211" t="s">
        <v>15</v>
      </c>
      <c r="L7" s="111"/>
      <c r="M7" s="49">
        <f t="shared" si="0"/>
        <v>2475</v>
      </c>
      <c r="N7" s="2"/>
      <c r="O7" s="234">
        <f t="shared" si="1"/>
        <v>2.475</v>
      </c>
      <c r="P7" s="2"/>
    </row>
    <row r="8" spans="1:16" ht="12.75">
      <c r="A8" s="233">
        <v>1965</v>
      </c>
      <c r="B8" s="2"/>
      <c r="C8" s="49">
        <v>2474</v>
      </c>
      <c r="D8" s="211" t="s">
        <v>15</v>
      </c>
      <c r="E8" s="211" t="s">
        <v>15</v>
      </c>
      <c r="F8" s="211" t="s">
        <v>15</v>
      </c>
      <c r="G8" s="211" t="s">
        <v>15</v>
      </c>
      <c r="H8" s="211" t="s">
        <v>15</v>
      </c>
      <c r="I8" s="211" t="s">
        <v>15</v>
      </c>
      <c r="J8" s="211" t="s">
        <v>15</v>
      </c>
      <c r="K8" s="211" t="s">
        <v>15</v>
      </c>
      <c r="L8" s="111"/>
      <c r="M8" s="49">
        <f t="shared" si="0"/>
        <v>2474</v>
      </c>
      <c r="N8" s="2"/>
      <c r="O8" s="234">
        <f t="shared" si="1"/>
        <v>2.474</v>
      </c>
      <c r="P8" s="2"/>
    </row>
    <row r="9" spans="1:16" ht="12.75">
      <c r="A9" s="233">
        <v>1966</v>
      </c>
      <c r="B9" s="2"/>
      <c r="C9" s="49">
        <v>2475</v>
      </c>
      <c r="D9" s="211" t="s">
        <v>15</v>
      </c>
      <c r="E9" s="211" t="s">
        <v>15</v>
      </c>
      <c r="F9" s="211" t="s">
        <v>15</v>
      </c>
      <c r="G9" s="211" t="s">
        <v>15</v>
      </c>
      <c r="H9" s="211" t="s">
        <v>15</v>
      </c>
      <c r="I9" s="211" t="s">
        <v>15</v>
      </c>
      <c r="J9" s="211" t="s">
        <v>15</v>
      </c>
      <c r="K9" s="211" t="s">
        <v>15</v>
      </c>
      <c r="L9" s="111"/>
      <c r="M9" s="49">
        <f t="shared" si="0"/>
        <v>2475</v>
      </c>
      <c r="N9" s="2"/>
      <c r="O9" s="234">
        <f t="shared" si="1"/>
        <v>2.475</v>
      </c>
      <c r="P9" s="2"/>
    </row>
    <row r="10" spans="1:16" ht="12.75">
      <c r="A10" s="233">
        <v>1967</v>
      </c>
      <c r="B10" s="2"/>
      <c r="C10" s="49">
        <v>2475</v>
      </c>
      <c r="D10" s="211" t="s">
        <v>15</v>
      </c>
      <c r="E10" s="211" t="s">
        <v>15</v>
      </c>
      <c r="F10" s="211" t="s">
        <v>15</v>
      </c>
      <c r="G10" s="211" t="s">
        <v>15</v>
      </c>
      <c r="H10" s="211" t="s">
        <v>15</v>
      </c>
      <c r="I10" s="211" t="s">
        <v>15</v>
      </c>
      <c r="J10" s="211" t="s">
        <v>15</v>
      </c>
      <c r="K10" s="211" t="s">
        <v>15</v>
      </c>
      <c r="L10" s="111"/>
      <c r="M10" s="49">
        <f t="shared" si="0"/>
        <v>2475</v>
      </c>
      <c r="N10" s="2"/>
      <c r="O10" s="234">
        <f t="shared" si="1"/>
        <v>2.475</v>
      </c>
      <c r="P10" s="2"/>
    </row>
    <row r="11" spans="1:16" ht="12.75">
      <c r="A11" s="233">
        <v>1968</v>
      </c>
      <c r="B11" s="2"/>
      <c r="C11" s="49">
        <v>2474</v>
      </c>
      <c r="D11" s="211" t="s">
        <v>15</v>
      </c>
      <c r="E11" s="211" t="s">
        <v>15</v>
      </c>
      <c r="F11" s="211" t="s">
        <v>15</v>
      </c>
      <c r="G11" s="211" t="s">
        <v>15</v>
      </c>
      <c r="H11" s="211" t="s">
        <v>15</v>
      </c>
      <c r="I11" s="211" t="s">
        <v>15</v>
      </c>
      <c r="J11" s="211" t="s">
        <v>15</v>
      </c>
      <c r="K11" s="211" t="s">
        <v>15</v>
      </c>
      <c r="L11" s="111"/>
      <c r="M11" s="49">
        <f t="shared" si="0"/>
        <v>2474</v>
      </c>
      <c r="N11" s="2"/>
      <c r="O11" s="234">
        <f t="shared" si="1"/>
        <v>2.474</v>
      </c>
      <c r="P11" s="2"/>
    </row>
    <row r="12" spans="1:16" ht="12.75">
      <c r="A12" s="233">
        <v>1969</v>
      </c>
      <c r="B12" s="2"/>
      <c r="C12" s="49">
        <v>2476</v>
      </c>
      <c r="D12" s="211" t="s">
        <v>15</v>
      </c>
      <c r="E12" s="211" t="s">
        <v>15</v>
      </c>
      <c r="F12" s="211" t="s">
        <v>15</v>
      </c>
      <c r="G12" s="211" t="s">
        <v>15</v>
      </c>
      <c r="H12" s="211" t="s">
        <v>15</v>
      </c>
      <c r="I12" s="211" t="s">
        <v>15</v>
      </c>
      <c r="J12" s="211" t="s">
        <v>15</v>
      </c>
      <c r="K12" s="211" t="s">
        <v>15</v>
      </c>
      <c r="L12" s="111"/>
      <c r="M12" s="49">
        <f t="shared" si="0"/>
        <v>2476</v>
      </c>
      <c r="N12" s="2"/>
      <c r="O12" s="234">
        <f t="shared" si="1"/>
        <v>2.476</v>
      </c>
      <c r="P12" s="2"/>
    </row>
    <row r="13" spans="1:16" ht="12.75">
      <c r="A13" s="233">
        <v>1970</v>
      </c>
      <c r="B13" s="2"/>
      <c r="C13" s="49">
        <v>1749</v>
      </c>
      <c r="D13" s="211" t="s">
        <v>15</v>
      </c>
      <c r="E13" s="211" t="s">
        <v>15</v>
      </c>
      <c r="F13" s="211" t="s">
        <v>15</v>
      </c>
      <c r="G13" s="211" t="s">
        <v>15</v>
      </c>
      <c r="H13" s="211" t="s">
        <v>15</v>
      </c>
      <c r="I13" s="211" t="s">
        <v>15</v>
      </c>
      <c r="J13" s="211" t="s">
        <v>15</v>
      </c>
      <c r="K13" s="211" t="s">
        <v>15</v>
      </c>
      <c r="L13" s="111"/>
      <c r="M13" s="49">
        <f t="shared" si="0"/>
        <v>1749</v>
      </c>
      <c r="N13" s="2"/>
      <c r="O13" s="234">
        <f t="shared" si="1"/>
        <v>1.749</v>
      </c>
      <c r="P13" s="2"/>
    </row>
    <row r="14" spans="1:16" ht="12.75">
      <c r="A14" s="233">
        <v>1971</v>
      </c>
      <c r="B14" s="2"/>
      <c r="C14" s="49">
        <v>2038</v>
      </c>
      <c r="D14" s="211" t="s">
        <v>15</v>
      </c>
      <c r="E14" s="211" t="s">
        <v>15</v>
      </c>
      <c r="F14" s="211" t="s">
        <v>15</v>
      </c>
      <c r="G14" s="211" t="s">
        <v>15</v>
      </c>
      <c r="H14" s="211" t="s">
        <v>15</v>
      </c>
      <c r="I14" s="211" t="s">
        <v>15</v>
      </c>
      <c r="J14" s="211" t="s">
        <v>15</v>
      </c>
      <c r="K14" s="211" t="s">
        <v>15</v>
      </c>
      <c r="L14" s="111"/>
      <c r="M14" s="49">
        <f t="shared" si="0"/>
        <v>2038</v>
      </c>
      <c r="N14" s="2"/>
      <c r="O14" s="234">
        <f t="shared" si="1"/>
        <v>2.038</v>
      </c>
      <c r="P14" s="2"/>
    </row>
    <row r="15" spans="1:16" ht="12.75">
      <c r="A15" s="233">
        <v>1972</v>
      </c>
      <c r="B15" s="2"/>
      <c r="C15" s="49">
        <v>1926</v>
      </c>
      <c r="D15" s="211" t="s">
        <v>15</v>
      </c>
      <c r="E15" s="211" t="s">
        <v>15</v>
      </c>
      <c r="F15" s="211" t="s">
        <v>15</v>
      </c>
      <c r="G15" s="211" t="s">
        <v>15</v>
      </c>
      <c r="H15" s="211" t="s">
        <v>15</v>
      </c>
      <c r="I15" s="211" t="s">
        <v>15</v>
      </c>
      <c r="J15" s="211" t="s">
        <v>15</v>
      </c>
      <c r="K15" s="211" t="s">
        <v>15</v>
      </c>
      <c r="L15" s="111"/>
      <c r="M15" s="49">
        <f t="shared" si="0"/>
        <v>1926</v>
      </c>
      <c r="N15" s="2"/>
      <c r="O15" s="234">
        <f t="shared" si="1"/>
        <v>1.926</v>
      </c>
      <c r="P15" s="2"/>
    </row>
    <row r="16" spans="1:16" ht="12.75">
      <c r="A16" s="233">
        <v>1973</v>
      </c>
      <c r="B16" s="2"/>
      <c r="C16" s="49">
        <v>1528</v>
      </c>
      <c r="D16" s="211" t="s">
        <v>15</v>
      </c>
      <c r="E16" s="211" t="s">
        <v>15</v>
      </c>
      <c r="F16" s="211" t="s">
        <v>15</v>
      </c>
      <c r="G16" s="211" t="s">
        <v>15</v>
      </c>
      <c r="H16" s="211" t="s">
        <v>15</v>
      </c>
      <c r="I16" s="211" t="s">
        <v>15</v>
      </c>
      <c r="J16" s="211" t="s">
        <v>15</v>
      </c>
      <c r="K16" s="211" t="s">
        <v>15</v>
      </c>
      <c r="L16" s="111"/>
      <c r="M16" s="49">
        <f t="shared" si="0"/>
        <v>1528</v>
      </c>
      <c r="N16" s="2"/>
      <c r="O16" s="234">
        <f t="shared" si="1"/>
        <v>1.528</v>
      </c>
      <c r="P16" s="2"/>
    </row>
    <row r="17" spans="1:16" ht="12.75">
      <c r="A17" s="233">
        <v>1974</v>
      </c>
      <c r="B17" s="2"/>
      <c r="C17" s="49">
        <v>1408</v>
      </c>
      <c r="D17" s="211" t="s">
        <v>15</v>
      </c>
      <c r="E17" s="211" t="s">
        <v>15</v>
      </c>
      <c r="F17" s="211" t="s">
        <v>15</v>
      </c>
      <c r="G17" s="211" t="s">
        <v>15</v>
      </c>
      <c r="H17" s="211" t="s">
        <v>15</v>
      </c>
      <c r="I17" s="211" t="s">
        <v>15</v>
      </c>
      <c r="J17" s="211" t="s">
        <v>15</v>
      </c>
      <c r="K17" s="211" t="s">
        <v>15</v>
      </c>
      <c r="L17" s="111"/>
      <c r="M17" s="49">
        <f t="shared" si="0"/>
        <v>1408</v>
      </c>
      <c r="N17" s="2"/>
      <c r="O17" s="234">
        <f t="shared" si="1"/>
        <v>1.408</v>
      </c>
      <c r="P17" s="2"/>
    </row>
    <row r="18" spans="1:16" ht="12.75">
      <c r="A18" s="233">
        <v>1975</v>
      </c>
      <c r="B18" s="2"/>
      <c r="C18" s="49">
        <v>1163</v>
      </c>
      <c r="D18" s="211" t="s">
        <v>15</v>
      </c>
      <c r="E18" s="211" t="s">
        <v>15</v>
      </c>
      <c r="F18" s="211" t="s">
        <v>15</v>
      </c>
      <c r="G18" s="211" t="s">
        <v>15</v>
      </c>
      <c r="H18" s="211" t="s">
        <v>15</v>
      </c>
      <c r="I18" s="211" t="s">
        <v>15</v>
      </c>
      <c r="J18" s="211" t="s">
        <v>15</v>
      </c>
      <c r="K18" s="211" t="s">
        <v>15</v>
      </c>
      <c r="L18" s="111"/>
      <c r="M18" s="49">
        <f t="shared" si="0"/>
        <v>1163</v>
      </c>
      <c r="N18" s="2"/>
      <c r="O18" s="234">
        <f t="shared" si="1"/>
        <v>1.163</v>
      </c>
      <c r="P18" s="2"/>
    </row>
    <row r="19" spans="1:16" ht="12.75">
      <c r="A19" s="233">
        <v>1976</v>
      </c>
      <c r="B19" s="2"/>
      <c r="C19" s="49">
        <v>1250</v>
      </c>
      <c r="D19" s="211" t="s">
        <v>15</v>
      </c>
      <c r="E19" s="211" t="s">
        <v>15</v>
      </c>
      <c r="F19" s="211" t="s">
        <v>15</v>
      </c>
      <c r="G19" s="211" t="s">
        <v>15</v>
      </c>
      <c r="H19" s="211" t="s">
        <v>15</v>
      </c>
      <c r="I19" s="211" t="s">
        <v>15</v>
      </c>
      <c r="J19" s="211" t="s">
        <v>15</v>
      </c>
      <c r="K19" s="211" t="s">
        <v>15</v>
      </c>
      <c r="L19" s="111"/>
      <c r="M19" s="49">
        <f t="shared" si="0"/>
        <v>1250</v>
      </c>
      <c r="N19" s="2"/>
      <c r="O19" s="234">
        <f t="shared" si="1"/>
        <v>1.25</v>
      </c>
      <c r="P19" s="2"/>
    </row>
    <row r="20" spans="1:16" ht="12.75">
      <c r="A20" s="233">
        <v>1977</v>
      </c>
      <c r="B20" s="2"/>
      <c r="C20" s="49">
        <v>897</v>
      </c>
      <c r="D20" s="211" t="s">
        <v>15</v>
      </c>
      <c r="E20" s="211" t="s">
        <v>15</v>
      </c>
      <c r="F20" s="211" t="s">
        <v>15</v>
      </c>
      <c r="G20" s="211" t="s">
        <v>15</v>
      </c>
      <c r="H20" s="211" t="s">
        <v>15</v>
      </c>
      <c r="I20" s="211" t="s">
        <v>15</v>
      </c>
      <c r="J20" s="211" t="s">
        <v>15</v>
      </c>
      <c r="K20" s="211" t="s">
        <v>15</v>
      </c>
      <c r="L20" s="111"/>
      <c r="M20" s="49">
        <f t="shared" si="0"/>
        <v>897</v>
      </c>
      <c r="N20" s="2"/>
      <c r="O20" s="234">
        <f t="shared" si="1"/>
        <v>0.897</v>
      </c>
      <c r="P20" s="2"/>
    </row>
    <row r="21" spans="1:16" ht="12.75">
      <c r="A21" s="233">
        <v>1978</v>
      </c>
      <c r="B21" s="2"/>
      <c r="C21" s="49">
        <v>537</v>
      </c>
      <c r="D21" s="211" t="s">
        <v>15</v>
      </c>
      <c r="E21" s="211" t="s">
        <v>15</v>
      </c>
      <c r="F21" s="211" t="s">
        <v>15</v>
      </c>
      <c r="G21" s="211" t="s">
        <v>15</v>
      </c>
      <c r="H21" s="211" t="s">
        <v>15</v>
      </c>
      <c r="I21" s="211" t="s">
        <v>15</v>
      </c>
      <c r="J21" s="211" t="s">
        <v>15</v>
      </c>
      <c r="K21" s="211" t="s">
        <v>15</v>
      </c>
      <c r="L21" s="111"/>
      <c r="M21" s="49">
        <f t="shared" si="0"/>
        <v>537</v>
      </c>
      <c r="N21" s="2"/>
      <c r="O21" s="234">
        <f t="shared" si="1"/>
        <v>0.537</v>
      </c>
      <c r="P21" s="2"/>
    </row>
    <row r="22" spans="1:16" ht="12.75">
      <c r="A22" s="233">
        <v>1979</v>
      </c>
      <c r="B22" s="2"/>
      <c r="C22" s="49">
        <v>618</v>
      </c>
      <c r="D22" s="211" t="s">
        <v>15</v>
      </c>
      <c r="E22" s="211" t="s">
        <v>15</v>
      </c>
      <c r="F22" s="211" t="s">
        <v>15</v>
      </c>
      <c r="G22" s="211" t="s">
        <v>15</v>
      </c>
      <c r="H22" s="211" t="s">
        <v>15</v>
      </c>
      <c r="I22" s="211" t="s">
        <v>15</v>
      </c>
      <c r="J22" s="211" t="s">
        <v>15</v>
      </c>
      <c r="K22" s="211" t="s">
        <v>15</v>
      </c>
      <c r="L22" s="111"/>
      <c r="M22" s="49">
        <f t="shared" si="0"/>
        <v>618</v>
      </c>
      <c r="N22" s="2"/>
      <c r="O22" s="234">
        <f t="shared" si="1"/>
        <v>0.618</v>
      </c>
      <c r="P22" s="2"/>
    </row>
    <row r="23" spans="1:16" ht="12.75">
      <c r="A23" s="233">
        <v>1980</v>
      </c>
      <c r="B23" s="2"/>
      <c r="C23" s="49">
        <v>624</v>
      </c>
      <c r="D23" s="211" t="s">
        <v>15</v>
      </c>
      <c r="E23" s="211" t="s">
        <v>15</v>
      </c>
      <c r="F23" s="211" t="s">
        <v>15</v>
      </c>
      <c r="G23" s="211" t="s">
        <v>15</v>
      </c>
      <c r="H23" s="211" t="s">
        <v>15</v>
      </c>
      <c r="I23" s="211" t="s">
        <v>15</v>
      </c>
      <c r="J23" s="211" t="s">
        <v>15</v>
      </c>
      <c r="K23" s="211" t="s">
        <v>15</v>
      </c>
      <c r="L23" s="111"/>
      <c r="M23" s="49">
        <f t="shared" si="0"/>
        <v>624</v>
      </c>
      <c r="N23" s="2"/>
      <c r="O23" s="234">
        <f t="shared" si="1"/>
        <v>0.624</v>
      </c>
      <c r="P23" s="2"/>
    </row>
    <row r="24" spans="1:16" ht="12.75">
      <c r="A24" s="233">
        <v>1981</v>
      </c>
      <c r="B24" s="2"/>
      <c r="C24" s="49">
        <v>318</v>
      </c>
      <c r="D24" s="211" t="s">
        <v>15</v>
      </c>
      <c r="E24" s="211" t="s">
        <v>15</v>
      </c>
      <c r="F24" s="211" t="s">
        <v>15</v>
      </c>
      <c r="G24" s="211" t="s">
        <v>15</v>
      </c>
      <c r="H24" s="211" t="s">
        <v>15</v>
      </c>
      <c r="I24" s="211" t="s">
        <v>15</v>
      </c>
      <c r="J24" s="211" t="s">
        <v>15</v>
      </c>
      <c r="K24" s="211" t="s">
        <v>15</v>
      </c>
      <c r="L24" s="111"/>
      <c r="M24" s="49">
        <f t="shared" si="0"/>
        <v>318</v>
      </c>
      <c r="N24" s="2"/>
      <c r="O24" s="234">
        <f t="shared" si="1"/>
        <v>0.318</v>
      </c>
      <c r="P24" s="2"/>
    </row>
    <row r="25" spans="1:16" ht="12.75">
      <c r="A25" s="233">
        <v>1982</v>
      </c>
      <c r="B25" s="2"/>
      <c r="C25" s="211" t="s">
        <v>15</v>
      </c>
      <c r="D25" s="211" t="s">
        <v>15</v>
      </c>
      <c r="E25" s="211" t="s">
        <v>15</v>
      </c>
      <c r="F25" s="211" t="s">
        <v>15</v>
      </c>
      <c r="G25" s="211" t="s">
        <v>15</v>
      </c>
      <c r="H25" s="211" t="s">
        <v>15</v>
      </c>
      <c r="I25" s="211" t="s">
        <v>15</v>
      </c>
      <c r="J25" s="211" t="s">
        <v>15</v>
      </c>
      <c r="K25" s="211" t="s">
        <v>15</v>
      </c>
      <c r="L25" s="111"/>
      <c r="M25" s="49">
        <f t="shared" si="0"/>
        <v>0</v>
      </c>
      <c r="N25" s="2"/>
      <c r="O25" s="234">
        <f t="shared" si="1"/>
        <v>0</v>
      </c>
      <c r="P25" s="2"/>
    </row>
    <row r="26" spans="1:16" ht="12.75">
      <c r="A26" s="233">
        <v>1983</v>
      </c>
      <c r="B26" s="2"/>
      <c r="C26" s="211" t="s">
        <v>15</v>
      </c>
      <c r="D26" s="211" t="s">
        <v>15</v>
      </c>
      <c r="E26" s="211" t="s">
        <v>15</v>
      </c>
      <c r="F26" s="211" t="s">
        <v>15</v>
      </c>
      <c r="G26" s="211" t="s">
        <v>15</v>
      </c>
      <c r="H26" s="211" t="s">
        <v>15</v>
      </c>
      <c r="I26" s="211" t="s">
        <v>15</v>
      </c>
      <c r="J26" s="211" t="s">
        <v>15</v>
      </c>
      <c r="K26" s="211" t="s">
        <v>15</v>
      </c>
      <c r="L26" s="111"/>
      <c r="M26" s="49">
        <f t="shared" si="0"/>
        <v>0</v>
      </c>
      <c r="N26" s="2"/>
      <c r="O26" s="234">
        <f t="shared" si="1"/>
        <v>0</v>
      </c>
      <c r="P26" s="2"/>
    </row>
    <row r="27" spans="1:16" ht="12.75">
      <c r="A27" s="233">
        <v>1984</v>
      </c>
      <c r="B27" s="2"/>
      <c r="C27" s="211" t="s">
        <v>15</v>
      </c>
      <c r="D27" s="49">
        <v>172441</v>
      </c>
      <c r="E27" s="211" t="s">
        <v>15</v>
      </c>
      <c r="F27" s="211" t="s">
        <v>15</v>
      </c>
      <c r="G27" s="211" t="s">
        <v>15</v>
      </c>
      <c r="H27" s="211" t="s">
        <v>15</v>
      </c>
      <c r="I27" s="211" t="s">
        <v>15</v>
      </c>
      <c r="J27" s="211" t="s">
        <v>15</v>
      </c>
      <c r="K27" s="211" t="s">
        <v>15</v>
      </c>
      <c r="L27" s="111"/>
      <c r="M27" s="49">
        <f t="shared" si="0"/>
        <v>172441</v>
      </c>
      <c r="N27" s="2"/>
      <c r="O27" s="234">
        <v>164</v>
      </c>
      <c r="P27" s="2"/>
    </row>
    <row r="28" spans="1:16" ht="12.75">
      <c r="A28" s="233">
        <v>1985</v>
      </c>
      <c r="B28" s="2"/>
      <c r="C28" s="211" t="s">
        <v>15</v>
      </c>
      <c r="D28" s="49">
        <v>269028</v>
      </c>
      <c r="E28" s="211" t="s">
        <v>15</v>
      </c>
      <c r="F28" s="211" t="s">
        <v>15</v>
      </c>
      <c r="G28" s="211" t="s">
        <v>15</v>
      </c>
      <c r="H28" s="211" t="s">
        <v>15</v>
      </c>
      <c r="I28" s="211" t="s">
        <v>15</v>
      </c>
      <c r="J28" s="211" t="s">
        <v>15</v>
      </c>
      <c r="K28" s="211" t="s">
        <v>15</v>
      </c>
      <c r="L28" s="111"/>
      <c r="M28" s="49">
        <f t="shared" si="0"/>
        <v>269028</v>
      </c>
      <c r="N28" s="2"/>
      <c r="O28" s="234">
        <v>230</v>
      </c>
      <c r="P28" s="2"/>
    </row>
    <row r="29" spans="1:16" ht="12.75">
      <c r="A29" s="233">
        <v>1986</v>
      </c>
      <c r="B29" s="2"/>
      <c r="C29" s="211" t="s">
        <v>15</v>
      </c>
      <c r="D29" s="49">
        <v>206094</v>
      </c>
      <c r="E29" s="49">
        <v>169708</v>
      </c>
      <c r="F29" s="211" t="s">
        <v>15</v>
      </c>
      <c r="G29" s="211" t="s">
        <v>15</v>
      </c>
      <c r="H29" s="211" t="s">
        <v>15</v>
      </c>
      <c r="I29" s="211" t="s">
        <v>15</v>
      </c>
      <c r="J29" s="211" t="s">
        <v>15</v>
      </c>
      <c r="K29" s="211" t="s">
        <v>15</v>
      </c>
      <c r="L29" s="111"/>
      <c r="M29" s="49">
        <f t="shared" si="0"/>
        <v>375802</v>
      </c>
      <c r="N29" s="2"/>
      <c r="O29" s="234">
        <v>321</v>
      </c>
      <c r="P29" s="2"/>
    </row>
    <row r="30" spans="1:16" ht="12.75">
      <c r="A30" s="233">
        <v>1987</v>
      </c>
      <c r="B30" s="2"/>
      <c r="C30" s="211" t="s">
        <v>15</v>
      </c>
      <c r="D30" s="49">
        <v>180718</v>
      </c>
      <c r="E30" s="49">
        <v>555376</v>
      </c>
      <c r="F30" s="211" t="s">
        <v>15</v>
      </c>
      <c r="G30" s="211" t="s">
        <v>15</v>
      </c>
      <c r="H30" s="211" t="s">
        <v>15</v>
      </c>
      <c r="I30" s="211" t="s">
        <v>15</v>
      </c>
      <c r="J30" s="211" t="s">
        <v>15</v>
      </c>
      <c r="K30" s="211" t="s">
        <v>15</v>
      </c>
      <c r="L30" s="111"/>
      <c r="M30" s="49">
        <f t="shared" si="0"/>
        <v>736094</v>
      </c>
      <c r="N30" s="2"/>
      <c r="O30" s="234">
        <v>696</v>
      </c>
      <c r="P30" s="2"/>
    </row>
    <row r="31" spans="1:16" ht="12.75">
      <c r="A31" s="233">
        <v>1988</v>
      </c>
      <c r="B31" s="2"/>
      <c r="C31" s="211" t="s">
        <v>15</v>
      </c>
      <c r="D31" s="49">
        <v>89077</v>
      </c>
      <c r="E31" s="49">
        <v>831633</v>
      </c>
      <c r="F31" s="211" t="s">
        <v>15</v>
      </c>
      <c r="G31" s="211" t="s">
        <v>15</v>
      </c>
      <c r="H31" s="211" t="s">
        <v>15</v>
      </c>
      <c r="I31" s="211" t="s">
        <v>15</v>
      </c>
      <c r="J31" s="211" t="s">
        <v>15</v>
      </c>
      <c r="K31" s="211" t="s">
        <v>15</v>
      </c>
      <c r="L31" s="111"/>
      <c r="M31" s="49">
        <f t="shared" si="0"/>
        <v>920710</v>
      </c>
      <c r="N31" s="2"/>
      <c r="O31" s="234">
        <v>910</v>
      </c>
      <c r="P31" s="2"/>
    </row>
    <row r="32" spans="1:16" ht="12.75">
      <c r="A32" s="233">
        <v>1989</v>
      </c>
      <c r="B32" s="2"/>
      <c r="C32" s="211" t="s">
        <v>15</v>
      </c>
      <c r="D32" s="49">
        <v>13419</v>
      </c>
      <c r="E32" s="49">
        <v>1521230</v>
      </c>
      <c r="F32" s="211" t="s">
        <v>15</v>
      </c>
      <c r="G32" s="211" t="s">
        <v>15</v>
      </c>
      <c r="H32" s="211" t="s">
        <v>15</v>
      </c>
      <c r="I32" s="211" t="s">
        <v>15</v>
      </c>
      <c r="J32" s="211" t="s">
        <v>15</v>
      </c>
      <c r="K32" s="211" t="s">
        <v>15</v>
      </c>
      <c r="L32" s="111"/>
      <c r="M32" s="49">
        <f t="shared" si="0"/>
        <v>1534649</v>
      </c>
      <c r="N32" s="2"/>
      <c r="O32" s="234">
        <v>1527</v>
      </c>
      <c r="P32" s="2"/>
    </row>
    <row r="33" spans="1:16" ht="12.75">
      <c r="A33" s="233">
        <v>1990</v>
      </c>
      <c r="B33" s="2"/>
      <c r="C33" s="211" t="s">
        <v>15</v>
      </c>
      <c r="D33" s="211" t="s">
        <v>15</v>
      </c>
      <c r="E33" s="49">
        <v>1258578</v>
      </c>
      <c r="F33" s="49">
        <v>56114</v>
      </c>
      <c r="G33" s="211" t="s">
        <v>15</v>
      </c>
      <c r="H33" s="211" t="s">
        <v>15</v>
      </c>
      <c r="I33" s="211" t="s">
        <v>15</v>
      </c>
      <c r="J33" s="211" t="s">
        <v>15</v>
      </c>
      <c r="K33" s="211" t="s">
        <v>15</v>
      </c>
      <c r="L33" s="111"/>
      <c r="M33" s="49">
        <f t="shared" si="0"/>
        <v>1314692</v>
      </c>
      <c r="N33" s="2"/>
      <c r="O33" s="234">
        <v>1182.8</v>
      </c>
      <c r="P33" s="2"/>
    </row>
    <row r="34" spans="1:16" ht="12.75">
      <c r="A34" s="233">
        <v>1991</v>
      </c>
      <c r="B34" s="2"/>
      <c r="C34" s="211" t="s">
        <v>15</v>
      </c>
      <c r="D34" s="211" t="s">
        <v>15</v>
      </c>
      <c r="E34" s="49">
        <v>1218786</v>
      </c>
      <c r="F34" s="49">
        <v>108867</v>
      </c>
      <c r="G34" s="211" t="s">
        <v>15</v>
      </c>
      <c r="H34" s="211" t="s">
        <v>15</v>
      </c>
      <c r="I34" s="211" t="s">
        <v>15</v>
      </c>
      <c r="J34" s="211" t="s">
        <v>15</v>
      </c>
      <c r="K34" s="211" t="s">
        <v>15</v>
      </c>
      <c r="L34" s="111"/>
      <c r="M34" s="49">
        <f t="shared" si="0"/>
        <v>1327653</v>
      </c>
      <c r="N34" s="2"/>
      <c r="O34" s="234">
        <v>1191.9</v>
      </c>
      <c r="P34" s="2"/>
    </row>
    <row r="35" spans="1:16" ht="12.75">
      <c r="A35" s="233">
        <v>1992</v>
      </c>
      <c r="B35" s="2"/>
      <c r="C35" s="211" t="s">
        <v>15</v>
      </c>
      <c r="D35" s="211" t="s">
        <v>15</v>
      </c>
      <c r="E35" s="49">
        <v>1074751</v>
      </c>
      <c r="F35" s="49">
        <v>145381</v>
      </c>
      <c r="G35" s="211" t="s">
        <v>15</v>
      </c>
      <c r="H35" s="211" t="s">
        <v>15</v>
      </c>
      <c r="I35" s="211" t="s">
        <v>15</v>
      </c>
      <c r="J35" s="211" t="s">
        <v>15</v>
      </c>
      <c r="K35" s="211" t="s">
        <v>15</v>
      </c>
      <c r="L35" s="111"/>
      <c r="M35" s="49">
        <f t="shared" si="0"/>
        <v>1220132</v>
      </c>
      <c r="N35" s="2"/>
      <c r="O35" s="234">
        <v>1090.9</v>
      </c>
      <c r="P35" s="2"/>
    </row>
    <row r="36" spans="1:16" ht="12.75">
      <c r="A36" s="233">
        <v>1993</v>
      </c>
      <c r="B36" s="2"/>
      <c r="C36" s="211" t="s">
        <v>15</v>
      </c>
      <c r="D36" s="211" t="s">
        <v>15</v>
      </c>
      <c r="E36" s="49">
        <v>509648</v>
      </c>
      <c r="F36" s="49">
        <v>123540</v>
      </c>
      <c r="G36" s="211" t="s">
        <v>15</v>
      </c>
      <c r="H36" s="211" t="s">
        <v>15</v>
      </c>
      <c r="I36" s="211" t="s">
        <v>15</v>
      </c>
      <c r="J36" s="211" t="s">
        <v>15</v>
      </c>
      <c r="K36" s="211" t="s">
        <v>15</v>
      </c>
      <c r="L36" s="111"/>
      <c r="M36" s="49">
        <f t="shared" si="0"/>
        <v>633188</v>
      </c>
      <c r="N36" s="2"/>
      <c r="O36" s="234">
        <v>563.7</v>
      </c>
      <c r="P36" s="2"/>
    </row>
    <row r="37" spans="1:16" ht="12.75">
      <c r="A37" s="233">
        <v>1994</v>
      </c>
      <c r="B37" s="2"/>
      <c r="C37" s="211" t="s">
        <v>15</v>
      </c>
      <c r="D37" s="211" t="s">
        <v>15</v>
      </c>
      <c r="E37" s="49">
        <v>120853</v>
      </c>
      <c r="F37" s="49">
        <v>75442</v>
      </c>
      <c r="G37" s="211" t="s">
        <v>15</v>
      </c>
      <c r="H37" s="211" t="s">
        <v>15</v>
      </c>
      <c r="I37" s="211" t="s">
        <v>15</v>
      </c>
      <c r="J37" s="211" t="s">
        <v>15</v>
      </c>
      <c r="K37" s="211" t="s">
        <v>15</v>
      </c>
      <c r="L37" s="111"/>
      <c r="M37" s="49">
        <f t="shared" si="0"/>
        <v>196295</v>
      </c>
      <c r="N37" s="2"/>
      <c r="O37" s="234">
        <v>172.9</v>
      </c>
      <c r="P37" s="2"/>
    </row>
    <row r="38" spans="1:16" ht="12.75">
      <c r="A38" s="233">
        <v>1995</v>
      </c>
      <c r="B38" s="2"/>
      <c r="C38" s="211" t="s">
        <v>15</v>
      </c>
      <c r="D38" s="211" t="s">
        <v>15</v>
      </c>
      <c r="E38" s="49">
        <v>25142</v>
      </c>
      <c r="F38" s="49">
        <v>68164</v>
      </c>
      <c r="G38" s="49">
        <v>317375</v>
      </c>
      <c r="H38" s="211" t="s">
        <v>15</v>
      </c>
      <c r="I38" s="211" t="s">
        <v>15</v>
      </c>
      <c r="J38" s="211" t="s">
        <v>15</v>
      </c>
      <c r="K38" s="211" t="s">
        <v>15</v>
      </c>
      <c r="L38" s="111"/>
      <c r="M38" s="49">
        <f t="shared" si="0"/>
        <v>410681</v>
      </c>
      <c r="N38" s="2"/>
      <c r="O38" s="234">
        <v>366.2</v>
      </c>
      <c r="P38" s="2"/>
    </row>
    <row r="39" spans="1:16" ht="12.75">
      <c r="A39" s="233">
        <v>1996</v>
      </c>
      <c r="B39" s="2"/>
      <c r="C39" s="211" t="s">
        <v>15</v>
      </c>
      <c r="D39" s="211" t="s">
        <v>15</v>
      </c>
      <c r="E39" s="211" t="s">
        <v>15</v>
      </c>
      <c r="F39" s="49">
        <v>51346</v>
      </c>
      <c r="G39" s="49">
        <v>407383</v>
      </c>
      <c r="H39" s="211" t="s">
        <v>15</v>
      </c>
      <c r="I39" s="211" t="s">
        <v>15</v>
      </c>
      <c r="J39" s="211" t="s">
        <v>15</v>
      </c>
      <c r="K39" s="211" t="s">
        <v>15</v>
      </c>
      <c r="L39" s="111"/>
      <c r="M39" s="49">
        <f t="shared" si="0"/>
        <v>458729</v>
      </c>
      <c r="N39" s="2"/>
      <c r="O39" s="234">
        <v>410.3</v>
      </c>
      <c r="P39" s="2"/>
    </row>
    <row r="40" spans="1:16" ht="12.75">
      <c r="A40" s="308">
        <v>1997</v>
      </c>
      <c r="B40" s="2"/>
      <c r="C40" s="309" t="s">
        <v>15</v>
      </c>
      <c r="D40" s="309" t="s">
        <v>15</v>
      </c>
      <c r="E40" s="309" t="s">
        <v>15</v>
      </c>
      <c r="F40" s="112">
        <v>81941</v>
      </c>
      <c r="G40" s="112">
        <v>4030</v>
      </c>
      <c r="H40" s="112">
        <v>86322</v>
      </c>
      <c r="I40" s="211" t="s">
        <v>15</v>
      </c>
      <c r="J40" s="211" t="s">
        <v>15</v>
      </c>
      <c r="K40" s="211" t="s">
        <v>15</v>
      </c>
      <c r="L40" s="112"/>
      <c r="M40" s="49">
        <f t="shared" si="0"/>
        <v>172293</v>
      </c>
      <c r="N40" s="2"/>
      <c r="O40" s="294">
        <v>146.4</v>
      </c>
      <c r="P40" s="2"/>
    </row>
    <row r="41" spans="1:16" ht="12.75">
      <c r="A41" s="233">
        <v>1998</v>
      </c>
      <c r="B41" s="2"/>
      <c r="C41" s="309" t="s">
        <v>15</v>
      </c>
      <c r="D41" s="309" t="s">
        <v>15</v>
      </c>
      <c r="E41" s="309" t="s">
        <v>15</v>
      </c>
      <c r="F41" s="112">
        <v>68988</v>
      </c>
      <c r="G41" s="309" t="s">
        <v>15</v>
      </c>
      <c r="H41" s="211">
        <v>40147</v>
      </c>
      <c r="I41" s="211" t="s">
        <v>15</v>
      </c>
      <c r="J41" s="211" t="s">
        <v>15</v>
      </c>
      <c r="K41" s="211" t="s">
        <v>15</v>
      </c>
      <c r="L41" s="49"/>
      <c r="M41" s="49">
        <f t="shared" si="0"/>
        <v>109135</v>
      </c>
      <c r="N41" s="57"/>
      <c r="O41" s="294">
        <v>93</v>
      </c>
      <c r="P41" s="2"/>
    </row>
    <row r="42" spans="1:16" ht="12.75">
      <c r="A42" s="325">
        <v>1999</v>
      </c>
      <c r="B42" s="2"/>
      <c r="C42" s="326" t="s">
        <v>15</v>
      </c>
      <c r="D42" s="326" t="s">
        <v>15</v>
      </c>
      <c r="E42" s="326" t="s">
        <v>15</v>
      </c>
      <c r="F42" s="302">
        <v>69584</v>
      </c>
      <c r="G42" s="326" t="s">
        <v>15</v>
      </c>
      <c r="H42" s="306">
        <v>57539</v>
      </c>
      <c r="I42" s="306">
        <v>9974</v>
      </c>
      <c r="J42" s="306">
        <v>7627</v>
      </c>
      <c r="K42" s="211" t="s">
        <v>15</v>
      </c>
      <c r="L42" s="305"/>
      <c r="M42" s="305">
        <f t="shared" si="0"/>
        <v>144724</v>
      </c>
      <c r="N42" s="57"/>
      <c r="O42" s="327">
        <f aca="true" t="shared" si="2" ref="O42:O49">ROUND(M42*0.00085,1)</f>
        <v>123</v>
      </c>
      <c r="P42" s="2"/>
    </row>
    <row r="43" spans="1:16" ht="12.75">
      <c r="A43" s="325">
        <v>2000</v>
      </c>
      <c r="B43" s="2"/>
      <c r="C43" s="326" t="s">
        <v>15</v>
      </c>
      <c r="D43" s="326" t="s">
        <v>15</v>
      </c>
      <c r="E43" s="326" t="s">
        <v>15</v>
      </c>
      <c r="F43" s="302">
        <v>63975</v>
      </c>
      <c r="G43" s="326" t="s">
        <v>15</v>
      </c>
      <c r="H43" s="306">
        <v>89859</v>
      </c>
      <c r="I43" s="306">
        <v>6595</v>
      </c>
      <c r="J43" s="306">
        <v>14107</v>
      </c>
      <c r="K43" s="211" t="s">
        <v>15</v>
      </c>
      <c r="L43" s="305"/>
      <c r="M43" s="305">
        <f t="shared" si="0"/>
        <v>174536</v>
      </c>
      <c r="N43" s="57"/>
      <c r="O43" s="327">
        <f t="shared" si="2"/>
        <v>148.4</v>
      </c>
      <c r="P43" s="2"/>
    </row>
    <row r="44" spans="1:15" ht="12.75">
      <c r="A44" s="325">
        <v>2001</v>
      </c>
      <c r="B44" s="2"/>
      <c r="C44" s="326" t="s">
        <v>15</v>
      </c>
      <c r="D44" s="326" t="s">
        <v>15</v>
      </c>
      <c r="E44" s="326" t="s">
        <v>15</v>
      </c>
      <c r="F44" s="302">
        <v>38721</v>
      </c>
      <c r="G44" s="326" t="s">
        <v>15</v>
      </c>
      <c r="H44" s="306">
        <v>492551</v>
      </c>
      <c r="I44" s="306">
        <v>6999</v>
      </c>
      <c r="J44" s="306">
        <v>13920</v>
      </c>
      <c r="K44" s="211" t="s">
        <v>15</v>
      </c>
      <c r="L44" s="305"/>
      <c r="M44" s="305">
        <f t="shared" si="0"/>
        <v>552191</v>
      </c>
      <c r="N44" s="57"/>
      <c r="O44" s="327">
        <f t="shared" si="2"/>
        <v>469.4</v>
      </c>
    </row>
    <row r="45" spans="1:15" ht="12.75">
      <c r="A45" s="406">
        <v>2002</v>
      </c>
      <c r="B45" s="2"/>
      <c r="C45" s="326" t="s">
        <v>15</v>
      </c>
      <c r="D45" s="326" t="s">
        <v>15</v>
      </c>
      <c r="E45" s="326" t="s">
        <v>15</v>
      </c>
      <c r="F45" s="302">
        <v>24290</v>
      </c>
      <c r="G45" s="326" t="s">
        <v>15</v>
      </c>
      <c r="H45" s="306">
        <v>503713</v>
      </c>
      <c r="I45" s="306">
        <v>6197</v>
      </c>
      <c r="J45" s="306">
        <v>11304</v>
      </c>
      <c r="K45" s="306">
        <v>12112</v>
      </c>
      <c r="L45" s="305"/>
      <c r="M45" s="305">
        <f t="shared" si="0"/>
        <v>557616</v>
      </c>
      <c r="N45" s="57"/>
      <c r="O45" s="327">
        <f t="shared" si="2"/>
        <v>474</v>
      </c>
    </row>
    <row r="46" spans="1:15" ht="12.75">
      <c r="A46" s="406">
        <v>2003</v>
      </c>
      <c r="B46" s="2"/>
      <c r="C46" s="326" t="s">
        <v>15</v>
      </c>
      <c r="D46" s="326" t="s">
        <v>15</v>
      </c>
      <c r="E46" s="326" t="s">
        <v>15</v>
      </c>
      <c r="F46" s="302">
        <v>51281</v>
      </c>
      <c r="G46" s="326" t="s">
        <v>15</v>
      </c>
      <c r="H46" s="306">
        <v>177933</v>
      </c>
      <c r="I46" s="306">
        <v>5377</v>
      </c>
      <c r="J46" s="306">
        <v>12948</v>
      </c>
      <c r="K46" s="306">
        <v>15845</v>
      </c>
      <c r="L46" s="305"/>
      <c r="M46" s="305">
        <f t="shared" si="0"/>
        <v>263384</v>
      </c>
      <c r="N46" s="57"/>
      <c r="O46" s="327">
        <f t="shared" si="2"/>
        <v>223.9</v>
      </c>
    </row>
    <row r="47" spans="1:15" ht="12.75">
      <c r="A47" s="407">
        <v>2004</v>
      </c>
      <c r="B47" s="2"/>
      <c r="C47" s="296" t="s">
        <v>15</v>
      </c>
      <c r="D47" s="296" t="s">
        <v>15</v>
      </c>
      <c r="E47" s="296" t="s">
        <v>15</v>
      </c>
      <c r="F47" s="2">
        <v>19795</v>
      </c>
      <c r="G47" s="296" t="s">
        <v>15</v>
      </c>
      <c r="H47" s="2">
        <v>316477</v>
      </c>
      <c r="I47" s="2">
        <v>5452</v>
      </c>
      <c r="J47" s="2">
        <v>6321</v>
      </c>
      <c r="K47" s="2">
        <v>16819</v>
      </c>
      <c r="L47" s="2"/>
      <c r="M47" s="408">
        <f t="shared" si="0"/>
        <v>364864</v>
      </c>
      <c r="N47" s="2"/>
      <c r="O47" s="409">
        <f t="shared" si="2"/>
        <v>310.1</v>
      </c>
    </row>
    <row r="48" spans="1:15" ht="12.75">
      <c r="A48" s="407">
        <v>2005</v>
      </c>
      <c r="B48" s="403"/>
      <c r="C48" s="404" t="s">
        <v>15</v>
      </c>
      <c r="D48" s="404" t="s">
        <v>15</v>
      </c>
      <c r="E48" s="404" t="s">
        <v>15</v>
      </c>
      <c r="F48" s="403">
        <v>6372</v>
      </c>
      <c r="G48" s="404" t="s">
        <v>15</v>
      </c>
      <c r="H48" s="403">
        <v>140775</v>
      </c>
      <c r="I48" s="403">
        <v>4350</v>
      </c>
      <c r="J48" s="403">
        <v>3353</v>
      </c>
      <c r="K48" s="403">
        <v>16262</v>
      </c>
      <c r="L48" s="403"/>
      <c r="M48" s="408">
        <v>171113</v>
      </c>
      <c r="N48" s="403"/>
      <c r="O48" s="409">
        <f t="shared" si="2"/>
        <v>145.4</v>
      </c>
    </row>
    <row r="49" spans="1:15" ht="13.5" thickBot="1">
      <c r="A49" s="314">
        <v>2006</v>
      </c>
      <c r="B49" s="397"/>
      <c r="C49" s="398" t="s">
        <v>15</v>
      </c>
      <c r="D49" s="398" t="s">
        <v>15</v>
      </c>
      <c r="E49" s="398" t="s">
        <v>15</v>
      </c>
      <c r="F49" s="398" t="s">
        <v>15</v>
      </c>
      <c r="G49" s="398" t="s">
        <v>15</v>
      </c>
      <c r="H49" s="397">
        <v>44341</v>
      </c>
      <c r="I49" s="397">
        <v>4028</v>
      </c>
      <c r="J49" s="397">
        <v>3503</v>
      </c>
      <c r="K49" s="397">
        <v>16773</v>
      </c>
      <c r="L49" s="397"/>
      <c r="M49" s="447">
        <f t="shared" si="0"/>
        <v>68645</v>
      </c>
      <c r="N49" s="397"/>
      <c r="O49" s="328">
        <f t="shared" si="2"/>
        <v>58.3</v>
      </c>
    </row>
    <row r="50" spans="3:11" ht="21" thickTop="1">
      <c r="C50" s="419"/>
      <c r="D50" s="420"/>
      <c r="E50" s="420"/>
      <c r="F50" s="56"/>
      <c r="G50" s="56"/>
      <c r="H50" s="56"/>
      <c r="I50" s="56"/>
      <c r="J50" s="56"/>
      <c r="K50" s="56"/>
    </row>
    <row r="122" ht="12.75">
      <c r="A122" s="204"/>
    </row>
  </sheetData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landscape" paperSize="9" scale="87" r:id="rId2"/>
  <headerFooter alignWithMargins="0">
    <oddFooter>&amp;C&amp;9 3.10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workbookViewId="0" topLeftCell="B1">
      <pane ySplit="4" topLeftCell="BM5" activePane="bottomLeft" state="frozen"/>
      <selection pane="topLeft" activeCell="A1" sqref="A1"/>
      <selection pane="bottomLeft" activeCell="B2" sqref="A2:IV2"/>
    </sheetView>
  </sheetViews>
  <sheetFormatPr defaultColWidth="12.57421875" defaultRowHeight="12.75"/>
  <cols>
    <col min="1" max="1" width="7.7109375" style="207" customWidth="1"/>
    <col min="2" max="2" width="1.7109375" style="56" customWidth="1"/>
    <col min="3" max="3" width="45.7109375" style="56" customWidth="1"/>
    <col min="4" max="4" width="1.7109375" style="56" customWidth="1"/>
    <col min="5" max="5" width="45.7109375" style="56" customWidth="1"/>
    <col min="6" max="6" width="1.7109375" style="56" customWidth="1"/>
    <col min="7" max="7" width="45.7109375" style="56" customWidth="1"/>
    <col min="8" max="16384" width="12.57421875" style="56" customWidth="1"/>
  </cols>
  <sheetData>
    <row r="1" spans="1:2" ht="15.75">
      <c r="A1" s="237" t="s">
        <v>70</v>
      </c>
      <c r="B1" s="238" t="s">
        <v>131</v>
      </c>
    </row>
    <row r="2" ht="13.5" thickBot="1"/>
    <row r="3" spans="1:7" ht="13.5" thickTop="1">
      <c r="A3" s="240" t="s">
        <v>62</v>
      </c>
      <c r="B3" s="235"/>
      <c r="C3" s="236" t="s">
        <v>132</v>
      </c>
      <c r="D3" s="235"/>
      <c r="E3" s="236" t="s">
        <v>71</v>
      </c>
      <c r="F3" s="235"/>
      <c r="G3" s="241" t="s">
        <v>14</v>
      </c>
    </row>
    <row r="4" spans="1:7" ht="12.75">
      <c r="A4" s="221" t="s">
        <v>63</v>
      </c>
      <c r="B4" s="225"/>
      <c r="C4" s="226" t="s">
        <v>159</v>
      </c>
      <c r="D4" s="225"/>
      <c r="E4" s="226" t="s">
        <v>160</v>
      </c>
      <c r="F4" s="225"/>
      <c r="G4" s="232" t="s">
        <v>160</v>
      </c>
    </row>
    <row r="5" spans="1:7" ht="12.75">
      <c r="A5" s="223">
        <v>1963</v>
      </c>
      <c r="B5" s="70"/>
      <c r="C5" s="239">
        <v>0</v>
      </c>
      <c r="D5" s="60"/>
      <c r="E5" s="156">
        <v>3.816</v>
      </c>
      <c r="F5" s="60"/>
      <c r="G5" s="234">
        <f>C5+E5</f>
        <v>3.816</v>
      </c>
    </row>
    <row r="6" spans="1:7" ht="12.75">
      <c r="A6" s="223">
        <v>1964</v>
      </c>
      <c r="B6" s="76"/>
      <c r="C6" s="239">
        <v>0</v>
      </c>
      <c r="D6" s="5"/>
      <c r="E6" s="156">
        <v>2.475</v>
      </c>
      <c r="F6" s="5"/>
      <c r="G6" s="234">
        <f aca="true" t="shared" si="0" ref="G6:G48">E6+C6</f>
        <v>2.475</v>
      </c>
    </row>
    <row r="7" spans="1:7" ht="12.75">
      <c r="A7" s="223">
        <v>1965</v>
      </c>
      <c r="B7" s="76"/>
      <c r="C7" s="239">
        <v>0</v>
      </c>
      <c r="D7" s="5"/>
      <c r="E7" s="156">
        <v>2.474</v>
      </c>
      <c r="F7" s="5"/>
      <c r="G7" s="234">
        <f t="shared" si="0"/>
        <v>2.474</v>
      </c>
    </row>
    <row r="8" spans="1:7" ht="12.75">
      <c r="A8" s="223">
        <v>1966</v>
      </c>
      <c r="B8" s="76"/>
      <c r="C8" s="156">
        <v>4</v>
      </c>
      <c r="D8" s="5"/>
      <c r="E8" s="156">
        <v>2.475</v>
      </c>
      <c r="F8" s="5"/>
      <c r="G8" s="234">
        <f t="shared" si="0"/>
        <v>6.475</v>
      </c>
    </row>
    <row r="9" spans="1:7" ht="12.75">
      <c r="A9" s="223">
        <v>1967</v>
      </c>
      <c r="B9" s="76"/>
      <c r="C9" s="156">
        <v>110</v>
      </c>
      <c r="D9" s="5"/>
      <c r="E9" s="156">
        <v>2.475</v>
      </c>
      <c r="F9" s="5"/>
      <c r="G9" s="234">
        <f t="shared" si="0"/>
        <v>112.475</v>
      </c>
    </row>
    <row r="10" spans="1:7" ht="12.75">
      <c r="A10" s="223">
        <v>1968</v>
      </c>
      <c r="B10" s="76"/>
      <c r="C10" s="156">
        <v>110</v>
      </c>
      <c r="D10" s="5"/>
      <c r="E10" s="156">
        <v>2.474</v>
      </c>
      <c r="F10" s="5"/>
      <c r="G10" s="234">
        <f t="shared" si="0"/>
        <v>112.474</v>
      </c>
    </row>
    <row r="11" spans="1:7" ht="12.75">
      <c r="A11" s="223">
        <v>1969</v>
      </c>
      <c r="B11" s="76"/>
      <c r="C11" s="156">
        <v>193</v>
      </c>
      <c r="D11" s="5"/>
      <c r="E11" s="156">
        <v>2.476</v>
      </c>
      <c r="F11" s="5"/>
      <c r="G11" s="234">
        <f t="shared" si="0"/>
        <v>195.476</v>
      </c>
    </row>
    <row r="12" spans="1:7" ht="12.75">
      <c r="A12" s="223">
        <v>1970</v>
      </c>
      <c r="B12" s="76"/>
      <c r="C12" s="156">
        <v>156</v>
      </c>
      <c r="D12" s="5"/>
      <c r="E12" s="156">
        <v>1.749</v>
      </c>
      <c r="F12" s="5"/>
      <c r="G12" s="234">
        <f t="shared" si="0"/>
        <v>157.749</v>
      </c>
    </row>
    <row r="13" spans="1:7" ht="12.75">
      <c r="A13" s="223">
        <v>1971</v>
      </c>
      <c r="B13" s="76"/>
      <c r="C13" s="156">
        <v>126</v>
      </c>
      <c r="D13" s="5"/>
      <c r="E13" s="156">
        <v>2.038</v>
      </c>
      <c r="F13" s="5"/>
      <c r="G13" s="234">
        <f t="shared" si="0"/>
        <v>128.038</v>
      </c>
    </row>
    <row r="14" spans="1:7" ht="12.75">
      <c r="A14" s="223">
        <v>1972</v>
      </c>
      <c r="B14" s="76"/>
      <c r="C14" s="156">
        <v>138</v>
      </c>
      <c r="D14" s="5"/>
      <c r="E14" s="156">
        <v>1.926</v>
      </c>
      <c r="F14" s="5"/>
      <c r="G14" s="234">
        <f t="shared" si="0"/>
        <v>139.926</v>
      </c>
    </row>
    <row r="15" spans="1:7" ht="12.75">
      <c r="A15" s="223">
        <v>1973</v>
      </c>
      <c r="B15" s="76"/>
      <c r="C15" s="156">
        <v>764</v>
      </c>
      <c r="D15" s="5"/>
      <c r="E15" s="156">
        <v>1.528</v>
      </c>
      <c r="F15" s="5"/>
      <c r="G15" s="234">
        <f t="shared" si="0"/>
        <v>765.528</v>
      </c>
    </row>
    <row r="16" spans="1:7" ht="12.75">
      <c r="A16" s="223">
        <v>1974</v>
      </c>
      <c r="B16" s="76"/>
      <c r="C16" s="156">
        <v>1976</v>
      </c>
      <c r="D16" s="5"/>
      <c r="E16" s="156">
        <v>1.408</v>
      </c>
      <c r="F16" s="5"/>
      <c r="G16" s="234">
        <f t="shared" si="0"/>
        <v>1977.408</v>
      </c>
    </row>
    <row r="17" spans="1:7" ht="12.75">
      <c r="A17" s="223">
        <v>1975</v>
      </c>
      <c r="B17" s="76"/>
      <c r="C17" s="156">
        <v>2027</v>
      </c>
      <c r="D17" s="5"/>
      <c r="E17" s="156">
        <v>1.163</v>
      </c>
      <c r="F17" s="5"/>
      <c r="G17" s="234">
        <f t="shared" si="0"/>
        <v>2028.163</v>
      </c>
    </row>
    <row r="18" spans="1:7" ht="12.75">
      <c r="A18" s="223">
        <v>1976</v>
      </c>
      <c r="B18" s="76"/>
      <c r="C18" s="156">
        <v>1772</v>
      </c>
      <c r="D18" s="5"/>
      <c r="E18" s="156">
        <v>1.25</v>
      </c>
      <c r="F18" s="5"/>
      <c r="G18" s="234">
        <f t="shared" si="0"/>
        <v>1773.25</v>
      </c>
    </row>
    <row r="19" spans="1:7" ht="12.75">
      <c r="A19" s="223">
        <v>1977</v>
      </c>
      <c r="B19" s="76"/>
      <c r="C19" s="156">
        <v>982</v>
      </c>
      <c r="D19" s="5"/>
      <c r="E19" s="156">
        <v>0.897</v>
      </c>
      <c r="F19" s="5"/>
      <c r="G19" s="234">
        <f t="shared" si="0"/>
        <v>982.897</v>
      </c>
    </row>
    <row r="20" spans="1:7" ht="12.75">
      <c r="A20" s="223">
        <v>1978</v>
      </c>
      <c r="B20" s="76"/>
      <c r="C20" s="156">
        <v>980</v>
      </c>
      <c r="D20" s="5"/>
      <c r="E20" s="156">
        <v>0.537</v>
      </c>
      <c r="F20" s="5"/>
      <c r="G20" s="234">
        <f t="shared" si="0"/>
        <v>980.537</v>
      </c>
    </row>
    <row r="21" spans="1:7" ht="12.75">
      <c r="A21" s="223">
        <v>1979</v>
      </c>
      <c r="B21" s="76"/>
      <c r="C21" s="156">
        <v>1159</v>
      </c>
      <c r="D21" s="5"/>
      <c r="E21" s="156">
        <v>0.618</v>
      </c>
      <c r="F21" s="5"/>
      <c r="G21" s="234">
        <f t="shared" si="0"/>
        <v>1159.618</v>
      </c>
    </row>
    <row r="22" spans="1:7" ht="12.75">
      <c r="A22" s="223">
        <v>1980</v>
      </c>
      <c r="B22" s="76"/>
      <c r="C22" s="156">
        <v>1594</v>
      </c>
      <c r="D22" s="5"/>
      <c r="E22" s="156">
        <v>0.624</v>
      </c>
      <c r="F22" s="5"/>
      <c r="G22" s="234">
        <f t="shared" si="0"/>
        <v>1594.624</v>
      </c>
    </row>
    <row r="23" spans="1:7" ht="12.75">
      <c r="A23" s="223">
        <v>1981</v>
      </c>
      <c r="B23" s="76"/>
      <c r="C23" s="156">
        <v>1226</v>
      </c>
      <c r="D23" s="5"/>
      <c r="E23" s="156">
        <v>0.318</v>
      </c>
      <c r="F23" s="5"/>
      <c r="G23" s="234">
        <f t="shared" si="0"/>
        <v>1226.318</v>
      </c>
    </row>
    <row r="24" spans="1:7" ht="12.75">
      <c r="A24" s="223">
        <v>1982</v>
      </c>
      <c r="B24" s="76"/>
      <c r="C24" s="156">
        <v>1530</v>
      </c>
      <c r="D24" s="5"/>
      <c r="E24" s="156">
        <v>0</v>
      </c>
      <c r="F24" s="5"/>
      <c r="G24" s="234">
        <f t="shared" si="0"/>
        <v>1530</v>
      </c>
    </row>
    <row r="25" spans="1:7" ht="12.75">
      <c r="A25" s="223">
        <v>1983</v>
      </c>
      <c r="B25" s="76"/>
      <c r="C25" s="156">
        <v>2977</v>
      </c>
      <c r="D25" s="5"/>
      <c r="E25" s="156">
        <v>0</v>
      </c>
      <c r="F25" s="5"/>
      <c r="G25" s="234">
        <f t="shared" si="0"/>
        <v>2977</v>
      </c>
    </row>
    <row r="26" spans="1:7" ht="12.75">
      <c r="A26" s="223">
        <v>1984</v>
      </c>
      <c r="B26" s="76"/>
      <c r="C26" s="156">
        <v>2316</v>
      </c>
      <c r="D26" s="5"/>
      <c r="E26" s="156">
        <v>164</v>
      </c>
      <c r="F26" s="5"/>
      <c r="G26" s="234">
        <f t="shared" si="0"/>
        <v>2480</v>
      </c>
    </row>
    <row r="27" spans="1:7" ht="12.75">
      <c r="A27" s="223">
        <v>1985</v>
      </c>
      <c r="B27" s="76"/>
      <c r="C27" s="156">
        <v>2183</v>
      </c>
      <c r="D27" s="5"/>
      <c r="E27" s="156">
        <v>230</v>
      </c>
      <c r="F27" s="5"/>
      <c r="G27" s="234">
        <f t="shared" si="0"/>
        <v>2413</v>
      </c>
    </row>
    <row r="28" spans="1:7" ht="12.75">
      <c r="A28" s="223">
        <v>1986</v>
      </c>
      <c r="B28" s="76"/>
      <c r="C28" s="156">
        <v>1858</v>
      </c>
      <c r="D28" s="5"/>
      <c r="E28" s="156">
        <v>321</v>
      </c>
      <c r="F28" s="5"/>
      <c r="G28" s="234">
        <f t="shared" si="0"/>
        <v>2179</v>
      </c>
    </row>
    <row r="29" spans="1:7" ht="12.75">
      <c r="A29" s="223">
        <v>1987</v>
      </c>
      <c r="B29" s="76"/>
      <c r="C29" s="156">
        <v>1642</v>
      </c>
      <c r="D29" s="5"/>
      <c r="E29" s="156">
        <v>696</v>
      </c>
      <c r="F29" s="5"/>
      <c r="G29" s="234">
        <f t="shared" si="0"/>
        <v>2338</v>
      </c>
    </row>
    <row r="30" spans="1:7" ht="12.75">
      <c r="A30" s="223">
        <v>1988</v>
      </c>
      <c r="B30" s="76"/>
      <c r="C30" s="156">
        <v>1483</v>
      </c>
      <c r="D30" s="5"/>
      <c r="E30" s="156">
        <v>910</v>
      </c>
      <c r="F30" s="5"/>
      <c r="G30" s="234">
        <f t="shared" si="0"/>
        <v>2393</v>
      </c>
    </row>
    <row r="31" spans="1:7" ht="12.75">
      <c r="A31" s="223">
        <v>1989</v>
      </c>
      <c r="B31" s="76"/>
      <c r="C31" s="156">
        <v>1037</v>
      </c>
      <c r="D31" s="5"/>
      <c r="E31" s="156">
        <v>1527</v>
      </c>
      <c r="F31" s="5"/>
      <c r="G31" s="234">
        <f t="shared" si="0"/>
        <v>2564</v>
      </c>
    </row>
    <row r="32" spans="1:7" ht="12.75">
      <c r="A32" s="223">
        <v>1990</v>
      </c>
      <c r="B32" s="76"/>
      <c r="C32" s="156">
        <v>796</v>
      </c>
      <c r="D32" s="5"/>
      <c r="E32" s="156">
        <v>1182.8</v>
      </c>
      <c r="F32" s="5"/>
      <c r="G32" s="234">
        <f t="shared" si="0"/>
        <v>1978.8</v>
      </c>
    </row>
    <row r="33" spans="1:7" ht="12.75">
      <c r="A33" s="223">
        <v>1991</v>
      </c>
      <c r="B33" s="76"/>
      <c r="C33" s="156">
        <v>1067</v>
      </c>
      <c r="D33" s="5"/>
      <c r="E33" s="156">
        <v>1191.9</v>
      </c>
      <c r="F33" s="5"/>
      <c r="G33" s="234">
        <f t="shared" si="0"/>
        <v>2258.9</v>
      </c>
    </row>
    <row r="34" spans="1:7" ht="12.75">
      <c r="A34" s="223">
        <v>1992</v>
      </c>
      <c r="B34" s="76"/>
      <c r="C34" s="156">
        <v>1072</v>
      </c>
      <c r="D34" s="5"/>
      <c r="E34" s="156">
        <v>1090.9</v>
      </c>
      <c r="F34" s="5"/>
      <c r="G34" s="234">
        <f t="shared" si="0"/>
        <v>2162.9</v>
      </c>
    </row>
    <row r="35" spans="1:7" ht="12.75">
      <c r="A35" s="223">
        <v>1993</v>
      </c>
      <c r="B35" s="76"/>
      <c r="C35" s="156">
        <v>875</v>
      </c>
      <c r="D35" s="5"/>
      <c r="E35" s="156">
        <v>563.7</v>
      </c>
      <c r="F35" s="5"/>
      <c r="G35" s="234">
        <f t="shared" si="0"/>
        <v>1438.7</v>
      </c>
    </row>
    <row r="36" spans="1:7" ht="12.75">
      <c r="A36" s="223">
        <v>1994</v>
      </c>
      <c r="B36" s="76"/>
      <c r="C36" s="156">
        <v>807</v>
      </c>
      <c r="D36" s="5"/>
      <c r="E36" s="156">
        <v>172.9</v>
      </c>
      <c r="F36" s="5"/>
      <c r="G36" s="234">
        <f t="shared" si="0"/>
        <v>979.9</v>
      </c>
    </row>
    <row r="37" spans="1:7" ht="12.75">
      <c r="A37" s="223">
        <v>1995</v>
      </c>
      <c r="B37" s="76"/>
      <c r="C37" s="156">
        <v>652</v>
      </c>
      <c r="D37" s="5"/>
      <c r="E37" s="156">
        <v>366.2</v>
      </c>
      <c r="F37" s="5"/>
      <c r="G37" s="234">
        <f t="shared" si="0"/>
        <v>1018.2</v>
      </c>
    </row>
    <row r="38" spans="1:7" ht="12.75">
      <c r="A38" s="223">
        <v>1996</v>
      </c>
      <c r="B38" s="76"/>
      <c r="C38" s="156">
        <v>516</v>
      </c>
      <c r="D38" s="5"/>
      <c r="E38" s="156">
        <v>410.3</v>
      </c>
      <c r="F38" s="5"/>
      <c r="G38" s="234">
        <f t="shared" si="0"/>
        <v>926.3</v>
      </c>
    </row>
    <row r="39" spans="1:7" ht="12.75">
      <c r="A39" s="310">
        <v>1997</v>
      </c>
      <c r="B39" s="311"/>
      <c r="C39" s="311">
        <v>377.3</v>
      </c>
      <c r="D39" s="57"/>
      <c r="E39" s="311">
        <v>146.4</v>
      </c>
      <c r="F39" s="57"/>
      <c r="G39" s="312">
        <f t="shared" si="0"/>
        <v>523.7</v>
      </c>
    </row>
    <row r="40" spans="1:7" ht="12.75">
      <c r="A40" s="310">
        <v>1998</v>
      </c>
      <c r="B40" s="311"/>
      <c r="C40" s="311">
        <v>531.5</v>
      </c>
      <c r="D40" s="57"/>
      <c r="E40" s="311">
        <v>92.8</v>
      </c>
      <c r="F40" s="57"/>
      <c r="G40" s="312">
        <f t="shared" si="0"/>
        <v>624.3</v>
      </c>
    </row>
    <row r="41" spans="1:7" ht="12.75">
      <c r="A41" s="310">
        <v>1999</v>
      </c>
      <c r="B41" s="311"/>
      <c r="C41" s="311">
        <v>300</v>
      </c>
      <c r="D41" s="57"/>
      <c r="E41" s="311">
        <v>123</v>
      </c>
      <c r="F41" s="57"/>
      <c r="G41" s="312">
        <f t="shared" si="0"/>
        <v>423</v>
      </c>
    </row>
    <row r="42" spans="1:7" ht="12.75">
      <c r="A42" s="310">
        <v>2000</v>
      </c>
      <c r="B42" s="311"/>
      <c r="C42" s="311">
        <v>228.7</v>
      </c>
      <c r="D42" s="57"/>
      <c r="E42" s="311">
        <v>148.4</v>
      </c>
      <c r="F42" s="57"/>
      <c r="G42" s="312">
        <f t="shared" si="0"/>
        <v>377.1</v>
      </c>
    </row>
    <row r="43" spans="1:7" ht="12.75">
      <c r="A43" s="310">
        <v>2001</v>
      </c>
      <c r="B43" s="311"/>
      <c r="C43" s="311">
        <v>337.6</v>
      </c>
      <c r="D43" s="57"/>
      <c r="E43" s="311">
        <v>469.4</v>
      </c>
      <c r="F43" s="57"/>
      <c r="G43" s="312">
        <f t="shared" si="0"/>
        <v>807</v>
      </c>
    </row>
    <row r="44" spans="1:7" ht="12.75">
      <c r="A44" s="310">
        <v>2002</v>
      </c>
      <c r="B44" s="311"/>
      <c r="C44" s="311">
        <v>316.3</v>
      </c>
      <c r="D44" s="57"/>
      <c r="E44" s="311">
        <v>474</v>
      </c>
      <c r="F44" s="57"/>
      <c r="G44" s="312">
        <f t="shared" si="0"/>
        <v>790.3</v>
      </c>
    </row>
    <row r="45" spans="1:7" ht="12.75">
      <c r="A45" s="310">
        <v>2003</v>
      </c>
      <c r="B45" s="311"/>
      <c r="C45" s="311">
        <v>320.6</v>
      </c>
      <c r="D45" s="57"/>
      <c r="E45" s="311">
        <v>223.9</v>
      </c>
      <c r="F45" s="57"/>
      <c r="G45" s="312">
        <f t="shared" si="0"/>
        <v>544.5</v>
      </c>
    </row>
    <row r="46" spans="1:7" ht="12.75">
      <c r="A46" s="394">
        <v>2004</v>
      </c>
      <c r="B46" s="57"/>
      <c r="C46" s="57">
        <v>254.548</v>
      </c>
      <c r="D46" s="57"/>
      <c r="E46" s="57">
        <v>310.1</v>
      </c>
      <c r="F46" s="57"/>
      <c r="G46" s="410">
        <f t="shared" si="0"/>
        <v>564.648</v>
      </c>
    </row>
    <row r="47" spans="1:7" ht="12.75">
      <c r="A47" s="402">
        <v>2005</v>
      </c>
      <c r="B47" s="413"/>
      <c r="C47" s="413">
        <v>166.014</v>
      </c>
      <c r="D47" s="413"/>
      <c r="E47" s="413">
        <v>145.456</v>
      </c>
      <c r="F47" s="413"/>
      <c r="G47" s="414">
        <f t="shared" si="0"/>
        <v>311.47</v>
      </c>
    </row>
    <row r="48" spans="1:7" ht="13.5" thickBot="1">
      <c r="A48" s="396">
        <v>2006</v>
      </c>
      <c r="B48" s="411"/>
      <c r="C48" s="411">
        <v>140</v>
      </c>
      <c r="D48" s="411"/>
      <c r="E48" s="411">
        <v>58.3</v>
      </c>
      <c r="F48" s="411"/>
      <c r="G48" s="412">
        <f t="shared" si="0"/>
        <v>198.3</v>
      </c>
    </row>
    <row r="49" spans="1:3" ht="21" thickTop="1">
      <c r="A49" s="419"/>
      <c r="B49" s="420"/>
      <c r="C49" s="420"/>
    </row>
    <row r="84" ht="12.75">
      <c r="A84" s="206"/>
    </row>
  </sheetData>
  <printOptions horizontalCentered="1"/>
  <pageMargins left="0.5905511811023623" right="0.1968503937007874" top="0.3937007874015748" bottom="0.3937007874015748" header="0.1968503937007874" footer="0.1968503937007874"/>
  <pageSetup fitToHeight="1" fitToWidth="1" horizontalDpi="600" verticalDpi="600" orientation="landscape" paperSize="9" scale="89" r:id="rId2"/>
  <headerFooter alignWithMargins="0">
    <oddFooter>&amp;C&amp;9 3.11&amp;R&amp;9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C32" sqref="C32"/>
    </sheetView>
  </sheetViews>
  <sheetFormatPr defaultColWidth="12.57421875" defaultRowHeight="12.75"/>
  <cols>
    <col min="1" max="1" width="5.7109375" style="243" customWidth="1"/>
    <col min="2" max="2" width="22.421875" style="243" customWidth="1"/>
    <col min="3" max="3" width="5.7109375" style="243" customWidth="1"/>
    <col min="4" max="5" width="14.7109375" style="243" customWidth="1"/>
    <col min="6" max="6" width="14.7109375" style="249" customWidth="1"/>
    <col min="7" max="7" width="15.140625" style="243" customWidth="1"/>
    <col min="8" max="16384" width="12.57421875" style="243" customWidth="1"/>
  </cols>
  <sheetData>
    <row r="1" spans="1:3" ht="15.75">
      <c r="A1" s="254" t="s">
        <v>72</v>
      </c>
      <c r="B1" s="250" t="s">
        <v>164</v>
      </c>
      <c r="C1" s="250"/>
    </row>
    <row r="2" spans="2:3" ht="15.75">
      <c r="B2" s="250" t="s">
        <v>165</v>
      </c>
      <c r="C2" s="250"/>
    </row>
    <row r="4" ht="12.75">
      <c r="G4" s="244"/>
    </row>
    <row r="5" ht="13.5" thickBot="1">
      <c r="G5" s="244"/>
    </row>
    <row r="6" spans="2:6" ht="13.5" thickTop="1">
      <c r="B6" s="257"/>
      <c r="C6" s="268"/>
      <c r="D6" s="258" t="s">
        <v>73</v>
      </c>
      <c r="E6" s="259" t="s">
        <v>163</v>
      </c>
      <c r="F6" s="260"/>
    </row>
    <row r="7" spans="2:7" ht="12.75">
      <c r="B7" s="261" t="s">
        <v>74</v>
      </c>
      <c r="C7" s="253"/>
      <c r="D7" s="256">
        <v>2005</v>
      </c>
      <c r="E7" s="256">
        <v>2006</v>
      </c>
      <c r="F7" s="262" t="s">
        <v>75</v>
      </c>
      <c r="G7" s="244"/>
    </row>
    <row r="8" spans="2:6" ht="12.75">
      <c r="B8" s="263"/>
      <c r="C8" s="245"/>
      <c r="D8" s="245"/>
      <c r="E8" s="245"/>
      <c r="F8" s="264"/>
    </row>
    <row r="9" spans="2:6" ht="12.75">
      <c r="B9" s="265" t="s">
        <v>76</v>
      </c>
      <c r="C9" s="255"/>
      <c r="F9" s="120"/>
    </row>
    <row r="10" spans="2:6" ht="12.75">
      <c r="B10" s="263"/>
      <c r="C10" s="245"/>
      <c r="F10" s="120"/>
    </row>
    <row r="11" spans="2:7" ht="12.75">
      <c r="B11" s="270" t="s">
        <v>77</v>
      </c>
      <c r="C11" s="271"/>
      <c r="D11" s="243">
        <v>5699</v>
      </c>
      <c r="E11" s="243">
        <v>5397</v>
      </c>
      <c r="F11" s="272">
        <f>((-D11+E11)/D11)*100</f>
        <v>-5.299175293911213</v>
      </c>
      <c r="G11" s="246"/>
    </row>
    <row r="12" spans="2:7" ht="38.25">
      <c r="B12" s="273" t="s">
        <v>161</v>
      </c>
      <c r="C12" s="274"/>
      <c r="D12" s="243">
        <v>100204</v>
      </c>
      <c r="E12" s="243">
        <v>66766</v>
      </c>
      <c r="F12" s="275">
        <f>((-D12+E12)/D12)*100</f>
        <v>-33.36992535228135</v>
      </c>
      <c r="G12" s="246"/>
    </row>
    <row r="13" spans="2:6" ht="12.75">
      <c r="B13" s="270" t="s">
        <v>11</v>
      </c>
      <c r="C13" s="271"/>
      <c r="D13" s="243">
        <v>33970</v>
      </c>
      <c r="E13" s="243">
        <v>35393</v>
      </c>
      <c r="F13" s="275">
        <f>((-D13+E13)/D13)*100</f>
        <v>4.18899028554607</v>
      </c>
    </row>
    <row r="14" spans="2:6" ht="25.5">
      <c r="B14" s="273" t="s">
        <v>162</v>
      </c>
      <c r="C14" s="271"/>
      <c r="D14" s="243">
        <v>26141</v>
      </c>
      <c r="E14" s="243">
        <v>32590</v>
      </c>
      <c r="F14" s="275">
        <f>((-D14+E14)/D14)*100</f>
        <v>24.670058528747944</v>
      </c>
    </row>
    <row r="15" spans="2:7" ht="12.75">
      <c r="B15" s="276" t="s">
        <v>78</v>
      </c>
      <c r="C15" s="277"/>
      <c r="D15" s="278">
        <f>SUM(D11:D14)</f>
        <v>166014</v>
      </c>
      <c r="E15" s="278">
        <f>SUM(E11:E14)</f>
        <v>140146</v>
      </c>
      <c r="F15" s="279">
        <f>((-D15+E15)/D15)*100</f>
        <v>-15.581818400857758</v>
      </c>
      <c r="G15" s="246"/>
    </row>
    <row r="16" spans="2:7" ht="12.75">
      <c r="B16" s="73"/>
      <c r="C16" s="251"/>
      <c r="D16" s="247"/>
      <c r="E16" s="247"/>
      <c r="F16" s="72"/>
      <c r="G16" s="246"/>
    </row>
    <row r="17" spans="2:7" ht="12.75">
      <c r="B17" s="263"/>
      <c r="C17" s="245"/>
      <c r="D17" s="245"/>
      <c r="E17" s="245"/>
      <c r="F17" s="72"/>
      <c r="G17" s="246"/>
    </row>
    <row r="18" spans="2:7" ht="12.75">
      <c r="B18" s="265" t="s">
        <v>79</v>
      </c>
      <c r="C18" s="255"/>
      <c r="F18" s="98"/>
      <c r="G18" s="246"/>
    </row>
    <row r="19" spans="2:7" ht="12.75">
      <c r="B19" s="263"/>
      <c r="C19" s="245"/>
      <c r="F19" s="98"/>
      <c r="G19" s="246"/>
    </row>
    <row r="20" spans="2:7" ht="12.75">
      <c r="B20" s="270" t="s">
        <v>167</v>
      </c>
      <c r="C20" s="271"/>
      <c r="D20" s="243">
        <v>5416.5</v>
      </c>
      <c r="E20" s="243">
        <v>0</v>
      </c>
      <c r="F20" s="275">
        <f aca="true" t="shared" si="0" ref="F20:F25">((-D20+E20)/D20)*100</f>
        <v>-100</v>
      </c>
      <c r="G20" s="246"/>
    </row>
    <row r="21" spans="2:6" ht="12.75">
      <c r="B21" s="270" t="s">
        <v>168</v>
      </c>
      <c r="C21" s="271"/>
      <c r="D21" s="243">
        <v>119659.1</v>
      </c>
      <c r="E21" s="243">
        <v>37690.2</v>
      </c>
      <c r="F21" s="275">
        <f t="shared" si="0"/>
        <v>-68.50201948702606</v>
      </c>
    </row>
    <row r="22" spans="2:6" ht="12.75">
      <c r="B22" s="270" t="s">
        <v>169</v>
      </c>
      <c r="C22" s="271"/>
      <c r="D22" s="243">
        <v>3697.6</v>
      </c>
      <c r="E22" s="243">
        <v>3423.7</v>
      </c>
      <c r="F22" s="275">
        <f t="shared" si="0"/>
        <v>-7.4075075724794495</v>
      </c>
    </row>
    <row r="23" spans="2:6" ht="12.75">
      <c r="B23" s="270" t="s">
        <v>170</v>
      </c>
      <c r="C23" s="271"/>
      <c r="D23" s="243">
        <v>2849.8</v>
      </c>
      <c r="E23" s="243">
        <v>2977.3</v>
      </c>
      <c r="F23" s="275">
        <f t="shared" si="0"/>
        <v>4.473998175310548</v>
      </c>
    </row>
    <row r="24" spans="2:6" ht="12.75">
      <c r="B24" s="270" t="s">
        <v>171</v>
      </c>
      <c r="C24" s="271"/>
      <c r="D24" s="243">
        <v>13823.1</v>
      </c>
      <c r="E24" s="243">
        <v>14256.9</v>
      </c>
      <c r="F24" s="275">
        <f t="shared" si="0"/>
        <v>3.1382251448661966</v>
      </c>
    </row>
    <row r="25" spans="2:7" ht="12.75">
      <c r="B25" s="276" t="s">
        <v>78</v>
      </c>
      <c r="C25" s="277"/>
      <c r="D25" s="278">
        <f>SUM(D20:D24)</f>
        <v>145446.1</v>
      </c>
      <c r="E25" s="278">
        <f>SUM(E20:E24)</f>
        <v>58348.1</v>
      </c>
      <c r="F25" s="279">
        <f t="shared" si="0"/>
        <v>-59.883351977124164</v>
      </c>
      <c r="G25" s="246"/>
    </row>
    <row r="26" spans="2:7" ht="12.75">
      <c r="B26" s="263"/>
      <c r="C26" s="245"/>
      <c r="D26" s="245"/>
      <c r="E26" s="245"/>
      <c r="F26" s="72"/>
      <c r="G26" s="246"/>
    </row>
    <row r="27" spans="2:7" ht="12.75">
      <c r="B27" s="415" t="s">
        <v>14</v>
      </c>
      <c r="C27" s="416"/>
      <c r="D27" s="417">
        <f>D15+D25</f>
        <v>311460.1</v>
      </c>
      <c r="E27" s="417">
        <f>E15+E25</f>
        <v>198494.1</v>
      </c>
      <c r="F27" s="418">
        <f>((-D27+E27)/D27)*100</f>
        <v>-36.26981433576885</v>
      </c>
      <c r="G27" s="246"/>
    </row>
    <row r="28" spans="2:6" ht="13.5" thickBot="1">
      <c r="B28" s="74"/>
      <c r="C28" s="269"/>
      <c r="D28" s="266"/>
      <c r="E28" s="266"/>
      <c r="F28" s="267"/>
    </row>
    <row r="29" spans="2:9" ht="21" thickTop="1">
      <c r="B29" s="419"/>
      <c r="C29" s="420"/>
      <c r="D29" s="420"/>
      <c r="E29" s="56"/>
      <c r="F29" s="56"/>
      <c r="G29" s="56"/>
      <c r="H29" s="56"/>
      <c r="I29" s="56"/>
    </row>
    <row r="30" spans="2:9" ht="20.25">
      <c r="B30" s="421"/>
      <c r="C30" s="422"/>
      <c r="D30" s="422"/>
      <c r="E30" s="422"/>
      <c r="F30" s="422"/>
      <c r="G30" s="422"/>
      <c r="H30" s="56"/>
      <c r="I30" s="56"/>
    </row>
    <row r="31" spans="1:3" ht="12.75">
      <c r="A31" s="252" t="s">
        <v>54</v>
      </c>
      <c r="B31" s="242" t="s">
        <v>104</v>
      </c>
      <c r="C31" s="242"/>
    </row>
    <row r="32" spans="2:3" ht="12.75">
      <c r="B32" s="242" t="s">
        <v>178</v>
      </c>
      <c r="C32" s="242"/>
    </row>
    <row r="93" spans="2:3" ht="12.75">
      <c r="B93" s="248"/>
      <c r="C93" s="248"/>
    </row>
    <row r="95" spans="2:3" ht="12.75">
      <c r="B95" s="248"/>
      <c r="C95" s="248"/>
    </row>
  </sheetData>
  <printOptions/>
  <pageMargins left="0.76" right="0.1968503937007874" top="0.3937007874015748" bottom="0.5905511811023623" header="0.2" footer="0.31496062992125984"/>
  <pageSetup horizontalDpi="600" verticalDpi="600" orientation="portrait" paperSize="9" r:id="rId2"/>
  <headerFooter alignWithMargins="0">
    <oddFooter>&amp;C&amp;9 3.12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6"/>
  <sheetViews>
    <sheetView workbookViewId="0" topLeftCell="A1">
      <selection activeCell="K27" sqref="K27"/>
    </sheetView>
  </sheetViews>
  <sheetFormatPr defaultColWidth="11.421875" defaultRowHeight="12.75"/>
  <cols>
    <col min="1" max="1" width="25.7109375" style="1" customWidth="1"/>
    <col min="2" max="2" width="8.7109375" style="1" customWidth="1"/>
    <col min="3" max="3" width="7.7109375" style="1" customWidth="1"/>
    <col min="4" max="5" width="13.7109375" style="1" customWidth="1"/>
    <col min="6" max="6" width="7.7109375" style="1" customWidth="1"/>
    <col min="7" max="7" width="9.7109375" style="1" customWidth="1"/>
    <col min="8" max="8" width="10.7109375" style="1" customWidth="1"/>
    <col min="9" max="9" width="11.7109375" style="1" customWidth="1"/>
    <col min="10" max="11" width="9.7109375" style="1" customWidth="1"/>
    <col min="12" max="16384" width="11.421875" style="1" customWidth="1"/>
  </cols>
  <sheetData>
    <row r="3" ht="15.75">
      <c r="A3" s="4" t="s">
        <v>117</v>
      </c>
    </row>
    <row r="4" ht="16.5" thickBot="1">
      <c r="A4" s="4"/>
    </row>
    <row r="5" spans="1:11" ht="12.75">
      <c r="A5" s="21"/>
      <c r="B5" s="25"/>
      <c r="C5" s="22"/>
      <c r="D5" s="23" t="s">
        <v>7</v>
      </c>
      <c r="E5" s="24"/>
      <c r="F5" s="25"/>
      <c r="G5" s="22"/>
      <c r="H5" s="286" t="s">
        <v>7</v>
      </c>
      <c r="I5" s="24"/>
      <c r="J5" s="25"/>
      <c r="K5" s="26"/>
    </row>
    <row r="6" spans="1:11" ht="12.75">
      <c r="A6" s="20"/>
      <c r="B6" s="11" t="s">
        <v>5</v>
      </c>
      <c r="C6" s="7"/>
      <c r="D6" s="10" t="s">
        <v>16</v>
      </c>
      <c r="E6" s="6"/>
      <c r="F6" s="11" t="s">
        <v>11</v>
      </c>
      <c r="G6" s="7"/>
      <c r="H6" s="282" t="s">
        <v>17</v>
      </c>
      <c r="I6" s="7"/>
      <c r="J6" s="11" t="s">
        <v>14</v>
      </c>
      <c r="K6" s="27"/>
    </row>
    <row r="7" spans="1:11" ht="12.75">
      <c r="A7" s="19" t="s">
        <v>116</v>
      </c>
      <c r="B7" s="8"/>
      <c r="C7" s="12"/>
      <c r="D7" s="8"/>
      <c r="E7" s="12"/>
      <c r="F7" s="8"/>
      <c r="G7" s="12"/>
      <c r="H7" s="283"/>
      <c r="I7" s="281"/>
      <c r="J7" s="8"/>
      <c r="K7" s="28"/>
    </row>
    <row r="8" spans="1:12" ht="12.75">
      <c r="A8" s="29" t="s">
        <v>18</v>
      </c>
      <c r="B8" s="9" t="s">
        <v>149</v>
      </c>
      <c r="C8" s="41" t="s">
        <v>19</v>
      </c>
      <c r="D8" s="9" t="s">
        <v>149</v>
      </c>
      <c r="E8" s="41" t="s">
        <v>19</v>
      </c>
      <c r="F8" s="9" t="s">
        <v>149</v>
      </c>
      <c r="G8" s="41" t="s">
        <v>19</v>
      </c>
      <c r="H8" s="9" t="s">
        <v>149</v>
      </c>
      <c r="I8" s="41" t="s">
        <v>19</v>
      </c>
      <c r="J8" s="9" t="s">
        <v>149</v>
      </c>
      <c r="K8" s="42" t="s">
        <v>19</v>
      </c>
      <c r="L8" s="320" t="s">
        <v>141</v>
      </c>
    </row>
    <row r="9" spans="1:11" ht="12.75">
      <c r="A9" s="30"/>
      <c r="B9" s="16"/>
      <c r="C9" s="13"/>
      <c r="D9" s="16"/>
      <c r="E9" s="13"/>
      <c r="F9" s="16"/>
      <c r="G9" s="13"/>
      <c r="H9" s="284"/>
      <c r="I9" s="2"/>
      <c r="J9" s="16"/>
      <c r="K9" s="31"/>
    </row>
    <row r="10" spans="1:12" ht="12.75">
      <c r="A10" s="32" t="s">
        <v>20</v>
      </c>
      <c r="B10" s="17">
        <v>437</v>
      </c>
      <c r="C10" s="14">
        <v>3189</v>
      </c>
      <c r="D10" s="17">
        <v>7411</v>
      </c>
      <c r="E10" s="14">
        <v>53732</v>
      </c>
      <c r="F10" s="17">
        <v>2088</v>
      </c>
      <c r="G10" s="14">
        <v>16167</v>
      </c>
      <c r="H10" s="285">
        <v>2693</v>
      </c>
      <c r="I10" s="49">
        <v>20496</v>
      </c>
      <c r="J10" s="17">
        <v>12629</v>
      </c>
      <c r="K10" s="33">
        <v>93584</v>
      </c>
      <c r="L10" s="1">
        <f>+K10/31</f>
        <v>3018.8387096774195</v>
      </c>
    </row>
    <row r="11" spans="1:12" ht="12.75">
      <c r="A11" s="32" t="s">
        <v>21</v>
      </c>
      <c r="B11" s="17">
        <v>352</v>
      </c>
      <c r="C11" s="14">
        <v>2563</v>
      </c>
      <c r="D11" s="17">
        <v>6635</v>
      </c>
      <c r="E11" s="14">
        <v>48105</v>
      </c>
      <c r="F11" s="17">
        <f>1719+232</f>
        <v>1951</v>
      </c>
      <c r="G11" s="14">
        <f>13302+1794</f>
        <v>15096</v>
      </c>
      <c r="H11" s="285">
        <v>2458</v>
      </c>
      <c r="I11" s="49">
        <v>18708</v>
      </c>
      <c r="J11" s="17">
        <v>11396</v>
      </c>
      <c r="K11" s="33">
        <v>84472</v>
      </c>
      <c r="L11" s="1">
        <f>+K11/28</f>
        <v>3016.8571428571427</v>
      </c>
    </row>
    <row r="12" spans="1:12" ht="12.75">
      <c r="A12" s="32" t="s">
        <v>22</v>
      </c>
      <c r="B12" s="17">
        <v>474</v>
      </c>
      <c r="C12" s="14">
        <v>3452</v>
      </c>
      <c r="D12" s="17">
        <v>5502</v>
      </c>
      <c r="E12" s="14">
        <v>39887</v>
      </c>
      <c r="F12" s="17">
        <f>1818+314</f>
        <v>2132</v>
      </c>
      <c r="G12" s="14">
        <f>14071+2432</f>
        <v>16503</v>
      </c>
      <c r="H12" s="285">
        <v>2710</v>
      </c>
      <c r="I12" s="49">
        <v>20622</v>
      </c>
      <c r="J12" s="17">
        <f>B12+D12+F12+H12</f>
        <v>10818</v>
      </c>
      <c r="K12" s="33">
        <f>C12+E12+G12+I12</f>
        <v>80464</v>
      </c>
      <c r="L12" s="1">
        <f>+K12/31</f>
        <v>2595.6129032258063</v>
      </c>
    </row>
    <row r="13" spans="1:12" ht="12.75">
      <c r="A13" s="32" t="s">
        <v>23</v>
      </c>
      <c r="B13" s="17">
        <v>464</v>
      </c>
      <c r="C13" s="14">
        <v>3376</v>
      </c>
      <c r="D13" s="17">
        <v>6101</v>
      </c>
      <c r="E13" s="14">
        <v>44232</v>
      </c>
      <c r="F13" s="17">
        <f>1889+143</f>
        <v>2032</v>
      </c>
      <c r="G13" s="14">
        <f>14616+1110</f>
        <v>15726</v>
      </c>
      <c r="H13" s="285">
        <v>2630</v>
      </c>
      <c r="I13" s="49">
        <v>20015</v>
      </c>
      <c r="J13" s="17">
        <f aca="true" t="shared" si="0" ref="J13:K17">B13+D13+F13+H13</f>
        <v>11227</v>
      </c>
      <c r="K13" s="33">
        <f t="shared" si="0"/>
        <v>83349</v>
      </c>
      <c r="L13" s="1">
        <f>+K13/30</f>
        <v>2778.3</v>
      </c>
    </row>
    <row r="14" spans="1:12" ht="12.75">
      <c r="A14" s="32" t="s">
        <v>24</v>
      </c>
      <c r="B14" s="17">
        <v>468</v>
      </c>
      <c r="C14" s="14">
        <v>3400</v>
      </c>
      <c r="D14" s="17">
        <v>4980</v>
      </c>
      <c r="E14" s="14">
        <v>36104</v>
      </c>
      <c r="F14" s="17">
        <f>1791+6184</f>
        <v>7975</v>
      </c>
      <c r="G14" s="14">
        <f>13857+47884</f>
        <v>61741</v>
      </c>
      <c r="H14" s="285">
        <v>2668</v>
      </c>
      <c r="I14" s="49">
        <v>20302</v>
      </c>
      <c r="J14" s="17">
        <f t="shared" si="0"/>
        <v>16091</v>
      </c>
      <c r="K14" s="33">
        <f t="shared" si="0"/>
        <v>121547</v>
      </c>
      <c r="L14" s="1">
        <f>+K14/31</f>
        <v>3920.8709677419356</v>
      </c>
    </row>
    <row r="15" spans="1:12" ht="12.75">
      <c r="A15" s="32" t="s">
        <v>25</v>
      </c>
      <c r="B15" s="17">
        <v>459</v>
      </c>
      <c r="C15" s="14">
        <v>3329</v>
      </c>
      <c r="D15" s="17">
        <v>5905</v>
      </c>
      <c r="E15" s="14">
        <v>42808</v>
      </c>
      <c r="F15" s="17">
        <f>1668+4404</f>
        <v>6072</v>
      </c>
      <c r="G15" s="14">
        <f>12911+34105</f>
        <v>47016</v>
      </c>
      <c r="H15" s="285">
        <v>2558</v>
      </c>
      <c r="I15" s="49">
        <v>19464</v>
      </c>
      <c r="J15" s="17">
        <f t="shared" si="0"/>
        <v>14994</v>
      </c>
      <c r="K15" s="33">
        <f t="shared" si="0"/>
        <v>112617</v>
      </c>
      <c r="L15" s="1">
        <f>+K15/30</f>
        <v>3753.9</v>
      </c>
    </row>
    <row r="16" spans="1:12" ht="12.75">
      <c r="A16" s="32" t="s">
        <v>26</v>
      </c>
      <c r="B16" s="17">
        <v>476</v>
      </c>
      <c r="C16" s="14">
        <v>3452</v>
      </c>
      <c r="D16" s="17">
        <v>8428</v>
      </c>
      <c r="E16" s="14">
        <v>61106</v>
      </c>
      <c r="F16" s="17">
        <f>1725+1820</f>
        <v>3545</v>
      </c>
      <c r="G16" s="14">
        <f>13351+14096</f>
        <v>27447</v>
      </c>
      <c r="H16" s="285">
        <v>2653</v>
      </c>
      <c r="I16" s="49">
        <v>20191</v>
      </c>
      <c r="J16" s="17">
        <f t="shared" si="0"/>
        <v>15102</v>
      </c>
      <c r="K16" s="33">
        <f t="shared" si="0"/>
        <v>112196</v>
      </c>
      <c r="L16" s="1">
        <f>+K16/31</f>
        <v>3619.2258064516127</v>
      </c>
    </row>
    <row r="17" spans="1:12" ht="12.75">
      <c r="A17" s="32" t="s">
        <v>27</v>
      </c>
      <c r="B17" s="17">
        <v>432</v>
      </c>
      <c r="C17" s="14">
        <v>3124</v>
      </c>
      <c r="D17" s="17">
        <v>7378</v>
      </c>
      <c r="E17" s="14">
        <v>53487</v>
      </c>
      <c r="F17" s="17">
        <f>1725+364</f>
        <v>2089</v>
      </c>
      <c r="G17" s="14">
        <f>13346+2819</f>
        <v>16165</v>
      </c>
      <c r="H17" s="285">
        <v>2875</v>
      </c>
      <c r="I17" s="49">
        <v>21875</v>
      </c>
      <c r="J17" s="17">
        <f t="shared" si="0"/>
        <v>12774</v>
      </c>
      <c r="K17" s="33">
        <f t="shared" si="0"/>
        <v>94651</v>
      </c>
      <c r="L17" s="1">
        <f>+K17/31</f>
        <v>3053.2580645161293</v>
      </c>
    </row>
    <row r="18" spans="1:12" ht="12.75">
      <c r="A18" s="32" t="s">
        <v>28</v>
      </c>
      <c r="B18" s="17">
        <v>423</v>
      </c>
      <c r="C18" s="14">
        <v>3064</v>
      </c>
      <c r="D18" s="17">
        <v>4864</v>
      </c>
      <c r="E18" s="14">
        <v>35261</v>
      </c>
      <c r="F18" s="17">
        <f>1668+230</f>
        <v>1898</v>
      </c>
      <c r="G18" s="14">
        <f>12905+1779</f>
        <v>14684</v>
      </c>
      <c r="H18" s="285">
        <v>2713</v>
      </c>
      <c r="I18" s="49">
        <v>20648</v>
      </c>
      <c r="J18" s="17">
        <f aca="true" t="shared" si="1" ref="J18:K20">B18+D18+F18+H18</f>
        <v>9898</v>
      </c>
      <c r="K18" s="33">
        <f t="shared" si="1"/>
        <v>73657</v>
      </c>
      <c r="L18" s="1">
        <f>+K18/30</f>
        <v>2455.233333333333</v>
      </c>
    </row>
    <row r="19" spans="1:12" ht="12.75">
      <c r="A19" s="32" t="s">
        <v>29</v>
      </c>
      <c r="B19" s="17">
        <v>464</v>
      </c>
      <c r="C19" s="14">
        <v>3373</v>
      </c>
      <c r="D19" s="17">
        <v>3968</v>
      </c>
      <c r="E19" s="14">
        <v>28770</v>
      </c>
      <c r="F19" s="17">
        <f>1722+184</f>
        <v>1906</v>
      </c>
      <c r="G19" s="14">
        <f>13329+1428</f>
        <v>14757</v>
      </c>
      <c r="H19" s="285">
        <v>2861</v>
      </c>
      <c r="I19" s="49">
        <v>21769</v>
      </c>
      <c r="J19" s="17">
        <f t="shared" si="1"/>
        <v>9199</v>
      </c>
      <c r="K19" s="33">
        <f t="shared" si="1"/>
        <v>68669</v>
      </c>
      <c r="L19" s="1">
        <f>+K19/31</f>
        <v>2215.1290322580644</v>
      </c>
    </row>
    <row r="20" spans="1:12" ht="12.75">
      <c r="A20" s="32" t="s">
        <v>30</v>
      </c>
      <c r="B20" s="17">
        <v>477</v>
      </c>
      <c r="C20" s="14">
        <v>3477</v>
      </c>
      <c r="D20" s="17">
        <v>2622</v>
      </c>
      <c r="E20" s="14">
        <v>19007</v>
      </c>
      <c r="F20" s="17">
        <f>199+1661</f>
        <v>1860</v>
      </c>
      <c r="G20" s="14">
        <f>1539+12854</f>
        <v>14393</v>
      </c>
      <c r="H20" s="285">
        <v>2834</v>
      </c>
      <c r="I20" s="49">
        <v>21566</v>
      </c>
      <c r="J20" s="17">
        <f t="shared" si="1"/>
        <v>7793</v>
      </c>
      <c r="K20" s="33">
        <f t="shared" si="1"/>
        <v>58443</v>
      </c>
      <c r="L20" s="1">
        <f>+K20/30</f>
        <v>1948.1</v>
      </c>
    </row>
    <row r="21" spans="1:12" ht="12.75">
      <c r="A21" s="32" t="s">
        <v>31</v>
      </c>
      <c r="B21" s="17">
        <v>471</v>
      </c>
      <c r="C21" s="14">
        <v>3434</v>
      </c>
      <c r="D21" s="17">
        <v>2972</v>
      </c>
      <c r="E21" s="14">
        <v>21545</v>
      </c>
      <c r="F21" s="17">
        <f>1730+115</f>
        <v>1845</v>
      </c>
      <c r="G21" s="14">
        <f>13391+887</f>
        <v>14278</v>
      </c>
      <c r="H21" s="285">
        <v>2937</v>
      </c>
      <c r="I21" s="49">
        <v>22353</v>
      </c>
      <c r="J21" s="17">
        <f>B21+D21+F21+H21</f>
        <v>8225</v>
      </c>
      <c r="K21" s="33">
        <f>C21+E21+G21+I21</f>
        <v>61610</v>
      </c>
      <c r="L21" s="1">
        <f>+K21/31</f>
        <v>1987.4193548387098</v>
      </c>
    </row>
    <row r="22" spans="1:11" ht="12.75">
      <c r="A22" s="20"/>
      <c r="B22" s="3"/>
      <c r="C22" s="2"/>
      <c r="D22" s="2"/>
      <c r="E22" s="2"/>
      <c r="F22" s="3"/>
      <c r="G22" s="2"/>
      <c r="H22" s="2"/>
      <c r="I22" s="2"/>
      <c r="J22" s="2"/>
      <c r="K22" s="39"/>
    </row>
    <row r="23" spans="1:11" ht="12.75">
      <c r="A23" s="40" t="s">
        <v>14</v>
      </c>
      <c r="B23" s="18">
        <f>SUM(B10:B21)</f>
        <v>5397</v>
      </c>
      <c r="C23" s="15">
        <f>SUM(C10:C21)</f>
        <v>39233</v>
      </c>
      <c r="D23" s="18">
        <f>SUM(D10:D21)</f>
        <v>66766</v>
      </c>
      <c r="E23" s="15">
        <f>SUM(E10:E21)</f>
        <v>484044</v>
      </c>
      <c r="F23" s="18">
        <f aca="true" t="shared" si="2" ref="F23:K23">SUM(F10:F21)</f>
        <v>35393</v>
      </c>
      <c r="G23" s="15">
        <f t="shared" si="2"/>
        <v>273973</v>
      </c>
      <c r="H23" s="18">
        <f t="shared" si="2"/>
        <v>32590</v>
      </c>
      <c r="I23" s="15">
        <f t="shared" si="2"/>
        <v>248009</v>
      </c>
      <c r="J23" s="18">
        <f t="shared" si="2"/>
        <v>140146</v>
      </c>
      <c r="K23" s="34">
        <f t="shared" si="2"/>
        <v>1045259</v>
      </c>
    </row>
    <row r="24" spans="1:11" ht="13.5" thickBot="1">
      <c r="A24" s="35"/>
      <c r="B24" s="36"/>
      <c r="C24" s="36"/>
      <c r="D24" s="36"/>
      <c r="E24" s="36"/>
      <c r="F24" s="37"/>
      <c r="G24" s="36"/>
      <c r="H24" s="36"/>
      <c r="I24" s="36"/>
      <c r="J24" s="36"/>
      <c r="K24" s="38"/>
    </row>
    <row r="26" spans="10:12" ht="12.75">
      <c r="J26" s="321" t="s">
        <v>153</v>
      </c>
      <c r="L26" s="1">
        <f>K23/365</f>
        <v>2863.723287671233</v>
      </c>
    </row>
  </sheetData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headerFooter alignWithMargins="0">
    <oddFooter>&amp;C3.2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H11" sqref="H11"/>
    </sheetView>
  </sheetViews>
  <sheetFormatPr defaultColWidth="11.421875" defaultRowHeight="12.75"/>
  <cols>
    <col min="1" max="1" width="25.7109375" style="1" customWidth="1"/>
    <col min="2" max="3" width="11.7109375" style="1" customWidth="1"/>
    <col min="4" max="5" width="13.7109375" style="1" customWidth="1"/>
    <col min="6" max="6" width="9.7109375" style="1" customWidth="1"/>
    <col min="7" max="8" width="10.7109375" style="1" customWidth="1"/>
    <col min="9" max="9" width="11.7109375" style="1" customWidth="1"/>
    <col min="10" max="16384" width="11.421875" style="1" customWidth="1"/>
  </cols>
  <sheetData>
    <row r="1" ht="15.75">
      <c r="A1" s="4" t="s">
        <v>118</v>
      </c>
    </row>
    <row r="6" ht="13.5" thickBot="1"/>
    <row r="7" spans="1:9" ht="12.75">
      <c r="A7" s="21"/>
      <c r="B7" s="25"/>
      <c r="C7" s="22"/>
      <c r="D7" s="23" t="s">
        <v>7</v>
      </c>
      <c r="E7" s="24"/>
      <c r="F7" s="25"/>
      <c r="G7" s="287"/>
      <c r="H7" s="286" t="s">
        <v>7</v>
      </c>
      <c r="I7" s="293"/>
    </row>
    <row r="8" spans="1:9" ht="12.75">
      <c r="A8" s="20"/>
      <c r="B8" s="11" t="s">
        <v>5</v>
      </c>
      <c r="C8" s="7"/>
      <c r="D8" s="10" t="s">
        <v>16</v>
      </c>
      <c r="E8" s="6"/>
      <c r="F8" s="11" t="s">
        <v>11</v>
      </c>
      <c r="G8" s="288"/>
      <c r="H8" s="11" t="s">
        <v>17</v>
      </c>
      <c r="I8" s="27"/>
    </row>
    <row r="9" spans="1:9" ht="12.75">
      <c r="A9" s="19" t="s">
        <v>116</v>
      </c>
      <c r="B9" s="8"/>
      <c r="C9" s="12"/>
      <c r="D9" s="8"/>
      <c r="E9" s="12"/>
      <c r="F9" s="8"/>
      <c r="G9" s="289"/>
      <c r="H9" s="8"/>
      <c r="I9" s="28"/>
    </row>
    <row r="10" spans="1:9" ht="12.75">
      <c r="A10" s="29" t="s">
        <v>18</v>
      </c>
      <c r="B10" s="9" t="s">
        <v>149</v>
      </c>
      <c r="C10" s="41" t="s">
        <v>19</v>
      </c>
      <c r="D10" s="9" t="s">
        <v>149</v>
      </c>
      <c r="E10" s="41" t="s">
        <v>19</v>
      </c>
      <c r="F10" s="9" t="s">
        <v>149</v>
      </c>
      <c r="G10" s="290" t="s">
        <v>19</v>
      </c>
      <c r="H10" s="9" t="s">
        <v>149</v>
      </c>
      <c r="I10" s="42" t="s">
        <v>19</v>
      </c>
    </row>
    <row r="11" spans="1:9" ht="12.75">
      <c r="A11" s="297" t="s">
        <v>152</v>
      </c>
      <c r="B11" s="299">
        <v>2270444</v>
      </c>
      <c r="C11" s="298">
        <v>16963337</v>
      </c>
      <c r="D11" s="299">
        <v>19650047</v>
      </c>
      <c r="E11" s="298">
        <v>143616444</v>
      </c>
      <c r="F11" s="299">
        <v>873941</v>
      </c>
      <c r="G11" s="300">
        <v>6688437</v>
      </c>
      <c r="H11" s="299">
        <v>654866</v>
      </c>
      <c r="I11" s="301">
        <v>4950993</v>
      </c>
    </row>
    <row r="12" spans="1:9" ht="12.75">
      <c r="A12" s="32" t="s">
        <v>20</v>
      </c>
      <c r="B12" s="17">
        <f>+B11+'32PMC'!B10</f>
        <v>2270881</v>
      </c>
      <c r="C12" s="14">
        <f>+C11+'32PMC'!C10</f>
        <v>16966526</v>
      </c>
      <c r="D12" s="17">
        <f>+D11+'32PMC'!D10</f>
        <v>19657458</v>
      </c>
      <c r="E12" s="14">
        <f>+E11+'32PMC'!E10</f>
        <v>143670176</v>
      </c>
      <c r="F12" s="17">
        <f>+F11+'32PMC'!F10</f>
        <v>876029</v>
      </c>
      <c r="G12" s="291">
        <f>+G11+'32PMC'!G10</f>
        <v>6704604</v>
      </c>
      <c r="H12" s="17">
        <f>+H11+'32PMC'!H10</f>
        <v>657559</v>
      </c>
      <c r="I12" s="33">
        <f>+I11+'32PMC'!I10</f>
        <v>4971489</v>
      </c>
    </row>
    <row r="13" spans="1:9" ht="12.75">
      <c r="A13" s="32" t="s">
        <v>21</v>
      </c>
      <c r="B13" s="17">
        <f>+B12+'32PMC'!B11</f>
        <v>2271233</v>
      </c>
      <c r="C13" s="14">
        <f>+C12+'32PMC'!C11</f>
        <v>16969089</v>
      </c>
      <c r="D13" s="17">
        <f>+D12+'32PMC'!D11</f>
        <v>19664093</v>
      </c>
      <c r="E13" s="14">
        <f>+E12+'32PMC'!E11</f>
        <v>143718281</v>
      </c>
      <c r="F13" s="17">
        <f>+F12+'32PMC'!F11</f>
        <v>877980</v>
      </c>
      <c r="G13" s="291">
        <f>+G12+'32PMC'!G11</f>
        <v>6719700</v>
      </c>
      <c r="H13" s="17">
        <f>+H12+'32PMC'!H11</f>
        <v>660017</v>
      </c>
      <c r="I13" s="33">
        <f>+I12+'32PMC'!I11</f>
        <v>4990197</v>
      </c>
    </row>
    <row r="14" spans="1:9" ht="12.75">
      <c r="A14" s="32" t="s">
        <v>22</v>
      </c>
      <c r="B14" s="17">
        <f>+B13+'32PMC'!B12</f>
        <v>2271707</v>
      </c>
      <c r="C14" s="14">
        <f>+C13+'32PMC'!C12</f>
        <v>16972541</v>
      </c>
      <c r="D14" s="17">
        <f>+D13+'32PMC'!D12</f>
        <v>19669595</v>
      </c>
      <c r="E14" s="14">
        <f>+E13+'32PMC'!E12</f>
        <v>143758168</v>
      </c>
      <c r="F14" s="17">
        <f>+F13+'32PMC'!F12</f>
        <v>880112</v>
      </c>
      <c r="G14" s="291">
        <f>+G13+'32PMC'!G12</f>
        <v>6736203</v>
      </c>
      <c r="H14" s="17">
        <f>+H13+'32PMC'!H12</f>
        <v>662727</v>
      </c>
      <c r="I14" s="33">
        <f>+I13+'32PMC'!I12</f>
        <v>5010819</v>
      </c>
    </row>
    <row r="15" spans="1:9" ht="12.75">
      <c r="A15" s="32" t="s">
        <v>23</v>
      </c>
      <c r="B15" s="17">
        <f>+B14+'32PMC'!B13</f>
        <v>2272171</v>
      </c>
      <c r="C15" s="14">
        <f>+C14+'32PMC'!C13</f>
        <v>16975917</v>
      </c>
      <c r="D15" s="17">
        <f>+D14+'32PMC'!D13</f>
        <v>19675696</v>
      </c>
      <c r="E15" s="14">
        <f>+E14+'32PMC'!E13</f>
        <v>143802400</v>
      </c>
      <c r="F15" s="17">
        <f>+F14+'32PMC'!F13</f>
        <v>882144</v>
      </c>
      <c r="G15" s="291">
        <f>+G14+'32PMC'!G13</f>
        <v>6751929</v>
      </c>
      <c r="H15" s="17">
        <f>+H14+'32PMC'!H13</f>
        <v>665357</v>
      </c>
      <c r="I15" s="33">
        <f>+I14+'32PMC'!I13</f>
        <v>5030834</v>
      </c>
    </row>
    <row r="16" spans="1:9" ht="12.75">
      <c r="A16" s="32" t="s">
        <v>24</v>
      </c>
      <c r="B16" s="17">
        <f>+B15+'32PMC'!B14</f>
        <v>2272639</v>
      </c>
      <c r="C16" s="14">
        <f>+C15+'32PMC'!C14</f>
        <v>16979317</v>
      </c>
      <c r="D16" s="17">
        <f>+D15+'32PMC'!D14</f>
        <v>19680676</v>
      </c>
      <c r="E16" s="14">
        <f>+E15+'32PMC'!E14</f>
        <v>143838504</v>
      </c>
      <c r="F16" s="17">
        <f>+F15+'32PMC'!F14</f>
        <v>890119</v>
      </c>
      <c r="G16" s="291">
        <f>+G15+'32PMC'!G14</f>
        <v>6813670</v>
      </c>
      <c r="H16" s="17">
        <f>+H15+'32PMC'!H14</f>
        <v>668025</v>
      </c>
      <c r="I16" s="33">
        <f>+I15+'32PMC'!I14</f>
        <v>5051136</v>
      </c>
    </row>
    <row r="17" spans="1:9" ht="12.75">
      <c r="A17" s="32" t="s">
        <v>25</v>
      </c>
      <c r="B17" s="17">
        <f>+B16+'32PMC'!B15</f>
        <v>2273098</v>
      </c>
      <c r="C17" s="14">
        <f>+C16+'32PMC'!C15</f>
        <v>16982646</v>
      </c>
      <c r="D17" s="17">
        <f>+D16+'32PMC'!D15</f>
        <v>19686581</v>
      </c>
      <c r="E17" s="14">
        <f>+E16+'32PMC'!E15</f>
        <v>143881312</v>
      </c>
      <c r="F17" s="17">
        <f>+F16+'32PMC'!F15</f>
        <v>896191</v>
      </c>
      <c r="G17" s="291">
        <f>+G16+'32PMC'!G15</f>
        <v>6860686</v>
      </c>
      <c r="H17" s="17">
        <f>+H16+'32PMC'!H15</f>
        <v>670583</v>
      </c>
      <c r="I17" s="33">
        <f>+I16+'32PMC'!I15</f>
        <v>5070600</v>
      </c>
    </row>
    <row r="18" spans="1:9" ht="12.75">
      <c r="A18" s="32" t="s">
        <v>26</v>
      </c>
      <c r="B18" s="17">
        <f>+B17+'32PMC'!B16</f>
        <v>2273574</v>
      </c>
      <c r="C18" s="14">
        <f>+C17+'32PMC'!C16</f>
        <v>16986098</v>
      </c>
      <c r="D18" s="17">
        <f>+D17+'32PMC'!D16</f>
        <v>19695009</v>
      </c>
      <c r="E18" s="14">
        <f>+E17+'32PMC'!E16</f>
        <v>143942418</v>
      </c>
      <c r="F18" s="17">
        <f>+F17+'32PMC'!F16</f>
        <v>899736</v>
      </c>
      <c r="G18" s="291">
        <f>+G17+'32PMC'!G16</f>
        <v>6888133</v>
      </c>
      <c r="H18" s="17">
        <f>+H17+'32PMC'!H16</f>
        <v>673236</v>
      </c>
      <c r="I18" s="33">
        <f>+I17+'32PMC'!I16</f>
        <v>5090791</v>
      </c>
    </row>
    <row r="19" spans="1:9" ht="12.75">
      <c r="A19" s="32" t="s">
        <v>27</v>
      </c>
      <c r="B19" s="17">
        <f>+B18+'32PMC'!B17</f>
        <v>2274006</v>
      </c>
      <c r="C19" s="14">
        <f>+C18+'32PMC'!C17</f>
        <v>16989222</v>
      </c>
      <c r="D19" s="17">
        <f>+D18+'32PMC'!D17</f>
        <v>19702387</v>
      </c>
      <c r="E19" s="14">
        <f>+E18+'32PMC'!E17</f>
        <v>143995905</v>
      </c>
      <c r="F19" s="17">
        <f>+F18+'32PMC'!F17</f>
        <v>901825</v>
      </c>
      <c r="G19" s="291">
        <f>+G18+'32PMC'!G17</f>
        <v>6904298</v>
      </c>
      <c r="H19" s="17">
        <f>+H18+'32PMC'!H17</f>
        <v>676111</v>
      </c>
      <c r="I19" s="33">
        <f>+I18+'32PMC'!I17</f>
        <v>5112666</v>
      </c>
    </row>
    <row r="20" spans="1:9" ht="12.75">
      <c r="A20" s="32" t="s">
        <v>28</v>
      </c>
      <c r="B20" s="17">
        <f>+B19+'32PMC'!B18</f>
        <v>2274429</v>
      </c>
      <c r="C20" s="14">
        <f>+C19+'32PMC'!C18</f>
        <v>16992286</v>
      </c>
      <c r="D20" s="17">
        <f>+D19+'32PMC'!D18</f>
        <v>19707251</v>
      </c>
      <c r="E20" s="14">
        <f>+E19+'32PMC'!E18</f>
        <v>144031166</v>
      </c>
      <c r="F20" s="17">
        <f>+F19+'32PMC'!F18</f>
        <v>903723</v>
      </c>
      <c r="G20" s="291">
        <f>+G19+'32PMC'!G18</f>
        <v>6918982</v>
      </c>
      <c r="H20" s="17">
        <f>+H19+'32PMC'!H18</f>
        <v>678824</v>
      </c>
      <c r="I20" s="33">
        <f>+I19+'32PMC'!I18</f>
        <v>5133314</v>
      </c>
    </row>
    <row r="21" spans="1:9" ht="12.75">
      <c r="A21" s="32" t="s">
        <v>29</v>
      </c>
      <c r="B21" s="17">
        <f>+B20+'32PMC'!B19</f>
        <v>2274893</v>
      </c>
      <c r="C21" s="14">
        <f>+C20+'32PMC'!C19</f>
        <v>16995659</v>
      </c>
      <c r="D21" s="17">
        <f>+D20+'32PMC'!D19</f>
        <v>19711219</v>
      </c>
      <c r="E21" s="14">
        <f>+E20+'32PMC'!E19</f>
        <v>144059936</v>
      </c>
      <c r="F21" s="17">
        <f>+F20+'32PMC'!F19</f>
        <v>905629</v>
      </c>
      <c r="G21" s="291">
        <f>+G20+'32PMC'!G19</f>
        <v>6933739</v>
      </c>
      <c r="H21" s="17">
        <f>+H20+'32PMC'!H19</f>
        <v>681685</v>
      </c>
      <c r="I21" s="33">
        <f>+I20+'32PMC'!I19</f>
        <v>5155083</v>
      </c>
    </row>
    <row r="22" spans="1:9" ht="12.75">
      <c r="A22" s="32" t="s">
        <v>30</v>
      </c>
      <c r="B22" s="17">
        <f>+B21+'32PMC'!B20</f>
        <v>2275370</v>
      </c>
      <c r="C22" s="14">
        <f>+C21+'32PMC'!C20</f>
        <v>16999136</v>
      </c>
      <c r="D22" s="17">
        <f>+D21+'32PMC'!D20</f>
        <v>19713841</v>
      </c>
      <c r="E22" s="14">
        <f>+E21+'32PMC'!E20</f>
        <v>144078943</v>
      </c>
      <c r="F22" s="17">
        <f>+F21+'32PMC'!F20</f>
        <v>907489</v>
      </c>
      <c r="G22" s="291">
        <f>+G21+'32PMC'!G20</f>
        <v>6948132</v>
      </c>
      <c r="H22" s="17">
        <f>+H21+'32PMC'!H20</f>
        <v>684519</v>
      </c>
      <c r="I22" s="33">
        <f>+I21+'32PMC'!I20</f>
        <v>5176649</v>
      </c>
    </row>
    <row r="23" spans="1:9" ht="12.75">
      <c r="A23" s="32" t="s">
        <v>31</v>
      </c>
      <c r="B23" s="17">
        <f>+B22+'32PMC'!B21</f>
        <v>2275841</v>
      </c>
      <c r="C23" s="14">
        <f>+C22+'32PMC'!C21</f>
        <v>17002570</v>
      </c>
      <c r="D23" s="17">
        <f>+D22+'32PMC'!D21</f>
        <v>19716813</v>
      </c>
      <c r="E23" s="14">
        <f>+E22+'32PMC'!E21</f>
        <v>144100488</v>
      </c>
      <c r="F23" s="17">
        <f>+F22+'32PMC'!F21</f>
        <v>909334</v>
      </c>
      <c r="G23" s="291">
        <f>+G22+'32PMC'!G21</f>
        <v>6962410</v>
      </c>
      <c r="H23" s="17">
        <f>+H22+'32PMC'!H21</f>
        <v>687456</v>
      </c>
      <c r="I23" s="33">
        <f>+I22+'32PMC'!I21</f>
        <v>5199002</v>
      </c>
    </row>
    <row r="24" spans="1:9" ht="13.5" thickBot="1">
      <c r="A24" s="35"/>
      <c r="B24" s="37"/>
      <c r="C24" s="36"/>
      <c r="D24" s="36"/>
      <c r="E24" s="36"/>
      <c r="F24" s="37"/>
      <c r="G24" s="292"/>
      <c r="H24" s="37"/>
      <c r="I24" s="38"/>
    </row>
    <row r="26" spans="4:7" ht="12.75">
      <c r="D26" s="372">
        <f>+D23-17791</f>
        <v>19699022</v>
      </c>
      <c r="E26" s="373">
        <f>+E23-129844</f>
        <v>143970644</v>
      </c>
      <c r="F26" s="372">
        <f>+F23-309421</f>
        <v>599913</v>
      </c>
      <c r="G26" s="373">
        <f>+G23-2391604</f>
        <v>4570806</v>
      </c>
    </row>
    <row r="27" spans="4:7" ht="12.75">
      <c r="D27" s="451" t="s">
        <v>142</v>
      </c>
      <c r="E27" s="452"/>
      <c r="F27" s="451" t="s">
        <v>143</v>
      </c>
      <c r="G27" s="452"/>
    </row>
    <row r="28" spans="4:7" ht="12.75">
      <c r="D28" s="372">
        <f>+D23-D26</f>
        <v>17791</v>
      </c>
      <c r="E28" s="373">
        <f>+E23-E26</f>
        <v>129844</v>
      </c>
      <c r="F28" s="1">
        <f>+F23-F26</f>
        <v>309421</v>
      </c>
      <c r="G28" s="373">
        <f>+G23-G26</f>
        <v>2391604</v>
      </c>
    </row>
    <row r="29" spans="4:7" ht="12.75">
      <c r="D29" s="451" t="s">
        <v>144</v>
      </c>
      <c r="E29" s="452"/>
      <c r="F29" s="451" t="s">
        <v>145</v>
      </c>
      <c r="G29" s="452"/>
    </row>
  </sheetData>
  <mergeCells count="4">
    <mergeCell ref="D27:E27"/>
    <mergeCell ref="F27:G27"/>
    <mergeCell ref="D29:E29"/>
    <mergeCell ref="F29:G2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&amp;C3.3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42"/>
  <sheetViews>
    <sheetView workbookViewId="0" topLeftCell="A10">
      <selection activeCell="B35" sqref="B35"/>
    </sheetView>
  </sheetViews>
  <sheetFormatPr defaultColWidth="11.421875" defaultRowHeight="12.75"/>
  <cols>
    <col min="1" max="1" width="18.28125" style="0" customWidth="1"/>
    <col min="2" max="2" width="1.7109375" style="0" customWidth="1"/>
    <col min="3" max="3" width="11.7109375" style="106" customWidth="1"/>
    <col min="4" max="4" width="14.7109375" style="106" customWidth="1"/>
    <col min="5" max="5" width="11.7109375" style="106" customWidth="1"/>
    <col min="6" max="6" width="8.7109375" style="106" customWidth="1"/>
    <col min="7" max="7" width="1.7109375" style="106" customWidth="1"/>
    <col min="8" max="8" width="13.7109375" style="106" customWidth="1"/>
    <col min="9" max="9" width="14.7109375" style="106" customWidth="1"/>
    <col min="10" max="10" width="12.7109375" style="106" customWidth="1"/>
    <col min="11" max="11" width="8.7109375" style="106" customWidth="1"/>
    <col min="12" max="12" width="1.7109375" style="106" customWidth="1"/>
    <col min="13" max="13" width="12.7109375" style="106" customWidth="1"/>
    <col min="14" max="16" width="11.421875" style="106" customWidth="1"/>
  </cols>
  <sheetData>
    <row r="2" ht="15.75">
      <c r="A2" s="100" t="s">
        <v>119</v>
      </c>
    </row>
    <row r="5" spans="1:249" s="101" customFormat="1" ht="12.75">
      <c r="A5" s="102"/>
      <c r="B5" s="10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</row>
    <row r="6" spans="1:249" s="101" customFormat="1" ht="12.75">
      <c r="A6" s="102"/>
      <c r="B6" s="10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</row>
    <row r="7" spans="1:249" s="101" customFormat="1" ht="13.5" thickBot="1">
      <c r="A7" s="105"/>
      <c r="B7" s="10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5"/>
      <c r="P7" s="45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</row>
    <row r="8" spans="1:249" s="101" customFormat="1" ht="13.5" thickTop="1">
      <c r="A8" s="113"/>
      <c r="B8" s="114"/>
      <c r="C8" s="115"/>
      <c r="D8" s="116"/>
      <c r="E8" s="116"/>
      <c r="F8" s="116"/>
      <c r="G8" s="116"/>
      <c r="H8" s="115"/>
      <c r="I8" s="116"/>
      <c r="J8" s="116"/>
      <c r="K8" s="116"/>
      <c r="L8" s="116"/>
      <c r="M8" s="117"/>
      <c r="N8" s="2"/>
      <c r="O8" s="45"/>
      <c r="P8" s="45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</row>
    <row r="9" spans="1:249" s="101" customFormat="1" ht="12.75">
      <c r="A9" s="142" t="s">
        <v>1</v>
      </c>
      <c r="B9" s="130"/>
      <c r="C9" s="131" t="s">
        <v>116</v>
      </c>
      <c r="D9" s="132"/>
      <c r="E9" s="132"/>
      <c r="F9" s="132"/>
      <c r="G9" s="51"/>
      <c r="H9" s="131" t="s">
        <v>120</v>
      </c>
      <c r="I9" s="132"/>
      <c r="J9" s="132"/>
      <c r="K9" s="132"/>
      <c r="L9" s="51"/>
      <c r="M9" s="133" t="s">
        <v>2</v>
      </c>
      <c r="N9" s="2"/>
      <c r="O9" s="45"/>
      <c r="P9" s="45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</row>
    <row r="10" spans="1:249" s="101" customFormat="1" ht="14.25">
      <c r="A10" s="143" t="s">
        <v>3</v>
      </c>
      <c r="B10" s="134"/>
      <c r="C10" s="135" t="s">
        <v>80</v>
      </c>
      <c r="D10" s="135" t="s">
        <v>33</v>
      </c>
      <c r="E10" s="136" t="s">
        <v>34</v>
      </c>
      <c r="F10" s="135" t="s">
        <v>87</v>
      </c>
      <c r="G10" s="137"/>
      <c r="H10" s="135" t="s">
        <v>80</v>
      </c>
      <c r="I10" s="135" t="s">
        <v>33</v>
      </c>
      <c r="J10" s="135" t="s">
        <v>34</v>
      </c>
      <c r="K10" s="135" t="s">
        <v>87</v>
      </c>
      <c r="L10" s="137"/>
      <c r="M10" s="138" t="s">
        <v>35</v>
      </c>
      <c r="N10" s="2"/>
      <c r="O10" s="45"/>
      <c r="P10" s="45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</row>
    <row r="11" spans="1:249" s="101" customFormat="1" ht="12.75">
      <c r="A11" s="121"/>
      <c r="B11" s="102"/>
      <c r="C11" s="2"/>
      <c r="D11" s="2"/>
      <c r="E11" s="2"/>
      <c r="F11" s="2"/>
      <c r="G11" s="45"/>
      <c r="H11" s="2"/>
      <c r="I11" s="2"/>
      <c r="J11" s="2"/>
      <c r="K11" s="2"/>
      <c r="L11" s="45"/>
      <c r="M11" s="47"/>
      <c r="N11" s="2"/>
      <c r="O11" s="45"/>
      <c r="P11" s="45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</row>
    <row r="12" spans="1:249" s="101" customFormat="1" ht="12.75">
      <c r="A12" s="118"/>
      <c r="B12" s="102"/>
      <c r="C12" s="107"/>
      <c r="D12" s="107"/>
      <c r="E12" s="60"/>
      <c r="F12" s="103"/>
      <c r="G12" s="45"/>
      <c r="H12" s="107"/>
      <c r="I12" s="107"/>
      <c r="J12" s="107"/>
      <c r="K12" s="109"/>
      <c r="L12" s="45"/>
      <c r="M12" s="119"/>
      <c r="N12" s="2"/>
      <c r="O12" s="45"/>
      <c r="P12" s="45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</row>
    <row r="13" spans="1:249" s="101" customFormat="1" ht="12.75">
      <c r="A13" s="121" t="s">
        <v>174</v>
      </c>
      <c r="B13" s="102"/>
      <c r="C13" s="2">
        <f>+'35PMG'!C19</f>
        <v>44341392</v>
      </c>
      <c r="D13" s="107">
        <f>C13*9.5</f>
        <v>421243224</v>
      </c>
      <c r="E13" s="60">
        <f>ROUND(C13*0.00085,1)</f>
        <v>37690.2</v>
      </c>
      <c r="F13" s="103">
        <f>E13/E$21</f>
        <v>0.645954195595058</v>
      </c>
      <c r="G13" s="45"/>
      <c r="H13" s="2">
        <f>+'35PMG'!C60</f>
        <v>1949692677</v>
      </c>
      <c r="I13" s="2">
        <f>+H13*9.5</f>
        <v>18522080431.5</v>
      </c>
      <c r="J13" s="107">
        <f>ROUND(H13*0.00085,0)</f>
        <v>1657239</v>
      </c>
      <c r="K13" s="109">
        <f>J13/J$21</f>
        <v>0.9070200451529041</v>
      </c>
      <c r="L13" s="45"/>
      <c r="M13" s="119" t="s">
        <v>6</v>
      </c>
      <c r="N13" s="2"/>
      <c r="O13" s="45"/>
      <c r="P13" s="45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</row>
    <row r="14" spans="1:249" s="101" customFormat="1" ht="12.75">
      <c r="A14" s="121"/>
      <c r="B14" s="102"/>
      <c r="C14" s="2"/>
      <c r="D14" s="107"/>
      <c r="E14" s="60"/>
      <c r="F14" s="103"/>
      <c r="G14" s="45"/>
      <c r="H14" s="2"/>
      <c r="I14" s="2"/>
      <c r="J14" s="107"/>
      <c r="K14" s="109"/>
      <c r="L14" s="45"/>
      <c r="M14" s="119"/>
      <c r="N14" s="2"/>
      <c r="O14" s="45"/>
      <c r="P14" s="45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</row>
    <row r="15" spans="1:249" s="101" customFormat="1" ht="12.75">
      <c r="A15" s="121" t="s">
        <v>175</v>
      </c>
      <c r="B15" s="102"/>
      <c r="C15" s="2">
        <f>+'35PMG'!D19</f>
        <v>4027829</v>
      </c>
      <c r="D15" s="107">
        <f>C15*9.19</f>
        <v>37015748.51</v>
      </c>
      <c r="E15" s="60">
        <f>ROUND(C15*0.00085,1)</f>
        <v>3423.7</v>
      </c>
      <c r="F15" s="103">
        <f>E15/E$21</f>
        <v>0.05867714629953674</v>
      </c>
      <c r="G15" s="45"/>
      <c r="H15" s="2">
        <f>+'35PMG'!D60</f>
        <v>48971450</v>
      </c>
      <c r="I15" s="2">
        <f>+H15*9.19</f>
        <v>450047625.5</v>
      </c>
      <c r="J15" s="107">
        <f>ROUND(H15*0.00085,0)</f>
        <v>41626</v>
      </c>
      <c r="K15" s="109">
        <f>J15/J$21</f>
        <v>0.022782239857699938</v>
      </c>
      <c r="L15" s="45"/>
      <c r="M15" s="119" t="s">
        <v>83</v>
      </c>
      <c r="N15" s="2"/>
      <c r="O15" s="45"/>
      <c r="P15" s="45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</row>
    <row r="16" spans="1:249" s="101" customFormat="1" ht="12.75">
      <c r="A16" s="121"/>
      <c r="B16" s="102"/>
      <c r="C16" s="2"/>
      <c r="D16" s="107"/>
      <c r="E16" s="60"/>
      <c r="F16" s="103"/>
      <c r="G16" s="45"/>
      <c r="H16" s="2"/>
      <c r="I16" s="2"/>
      <c r="J16" s="107"/>
      <c r="K16" s="109"/>
      <c r="L16" s="45"/>
      <c r="M16" s="119"/>
      <c r="N16" s="2"/>
      <c r="O16" s="45"/>
      <c r="P16" s="45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</row>
    <row r="17" spans="1:249" s="101" customFormat="1" ht="12.75">
      <c r="A17" s="121" t="s">
        <v>176</v>
      </c>
      <c r="B17" s="102"/>
      <c r="C17" s="2">
        <f>+'35PMG'!E19</f>
        <v>3502733</v>
      </c>
      <c r="D17" s="107">
        <f>C17*9.083</f>
        <v>31815323.839</v>
      </c>
      <c r="E17" s="60">
        <f>ROUND(C17*0.00085,1)</f>
        <v>2977.3</v>
      </c>
      <c r="F17" s="103">
        <f>E17/E$21</f>
        <v>0.05102651157449858</v>
      </c>
      <c r="G17" s="45"/>
      <c r="H17" s="2">
        <f>+'35PMG'!E60</f>
        <v>73082575</v>
      </c>
      <c r="I17" s="2">
        <f>+H17*9.083</f>
        <v>663809028.725</v>
      </c>
      <c r="J17" s="107">
        <f>ROUND(H17*0.00085,0)</f>
        <v>62120</v>
      </c>
      <c r="K17" s="109">
        <f>J17/J$21</f>
        <v>0.03399876855715947</v>
      </c>
      <c r="L17" s="45"/>
      <c r="M17" s="119" t="s">
        <v>83</v>
      </c>
      <c r="N17" s="2"/>
      <c r="O17" s="45"/>
      <c r="P17" s="45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</row>
    <row r="18" spans="1:249" s="101" customFormat="1" ht="12.75">
      <c r="A18" s="121"/>
      <c r="B18" s="102"/>
      <c r="C18" s="2"/>
      <c r="D18" s="107"/>
      <c r="E18" s="60"/>
      <c r="F18" s="103"/>
      <c r="G18" s="45"/>
      <c r="H18" s="2"/>
      <c r="I18" s="2"/>
      <c r="J18" s="107"/>
      <c r="K18" s="109"/>
      <c r="L18" s="45"/>
      <c r="M18" s="119"/>
      <c r="N18" s="2"/>
      <c r="O18" s="45"/>
      <c r="P18" s="45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</row>
    <row r="19" spans="1:249" s="101" customFormat="1" ht="12.75">
      <c r="A19" s="121" t="s">
        <v>177</v>
      </c>
      <c r="B19" s="102"/>
      <c r="C19" s="2">
        <f>+'35PMG'!F19</f>
        <v>16772843</v>
      </c>
      <c r="D19" s="107">
        <f>C19*9.1</f>
        <v>152632871.29999998</v>
      </c>
      <c r="E19" s="60">
        <f>ROUND(C19*0.00085,1)</f>
        <v>14256.9</v>
      </c>
      <c r="F19" s="103">
        <f>E19/E$21</f>
        <v>0.24434214653090675</v>
      </c>
      <c r="G19" s="45"/>
      <c r="H19" s="2">
        <f>+'35PMG'!F60</f>
        <v>77811674</v>
      </c>
      <c r="I19" s="107">
        <f>H19*9.1</f>
        <v>708086233.4</v>
      </c>
      <c r="J19" s="107">
        <f>ROUND(H19*0.00085,0)</f>
        <v>66140</v>
      </c>
      <c r="K19" s="109">
        <f>J19/J$21</f>
        <v>0.03619894643223644</v>
      </c>
      <c r="L19" s="45"/>
      <c r="M19" s="119" t="s">
        <v>156</v>
      </c>
      <c r="N19" s="2"/>
      <c r="O19" s="45"/>
      <c r="P19" s="45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</row>
    <row r="20" spans="1:249" s="101" customFormat="1" ht="12.75">
      <c r="A20" s="121"/>
      <c r="B20" s="102"/>
      <c r="C20" s="2"/>
      <c r="D20" s="2"/>
      <c r="E20" s="57"/>
      <c r="F20" s="108"/>
      <c r="G20" s="45"/>
      <c r="H20" s="2"/>
      <c r="I20" s="2"/>
      <c r="J20" s="2"/>
      <c r="K20" s="110"/>
      <c r="L20" s="45"/>
      <c r="M20" s="47"/>
      <c r="N20" s="2"/>
      <c r="O20" s="45"/>
      <c r="P20" s="45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</row>
    <row r="21" spans="1:249" s="101" customFormat="1" ht="12.75">
      <c r="A21" s="126" t="s">
        <v>14</v>
      </c>
      <c r="B21" s="127"/>
      <c r="C21" s="139">
        <f>SUM(C12:C20)</f>
        <v>68644797</v>
      </c>
      <c r="D21" s="139">
        <f>SUM(D12:D20)</f>
        <v>642707167.6489999</v>
      </c>
      <c r="E21" s="140">
        <f>SUM(E12:E20)</f>
        <v>58348.1</v>
      </c>
      <c r="F21" s="141">
        <f>SUM(F12:F20)</f>
        <v>1</v>
      </c>
      <c r="G21" s="128"/>
      <c r="H21" s="139">
        <f>SUM(H12:H20)</f>
        <v>2149558376</v>
      </c>
      <c r="I21" s="139">
        <f>SUM(I12:I20)</f>
        <v>20344023319.125</v>
      </c>
      <c r="J21" s="139">
        <f>SUM(J12:J20)</f>
        <v>1827125</v>
      </c>
      <c r="K21" s="141">
        <f>SUM(K12:K20)</f>
        <v>0.9999999999999999</v>
      </c>
      <c r="L21" s="128"/>
      <c r="M21" s="129" t="s">
        <v>15</v>
      </c>
      <c r="N21" s="2"/>
      <c r="O21" s="45"/>
      <c r="P21" s="45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</row>
    <row r="22" spans="1:249" s="101" customFormat="1" ht="12.75">
      <c r="A22" s="118"/>
      <c r="B22" s="102"/>
      <c r="C22" s="107"/>
      <c r="D22" s="107"/>
      <c r="E22" s="107"/>
      <c r="F22" s="103"/>
      <c r="G22" s="45"/>
      <c r="H22" s="107"/>
      <c r="I22" s="107"/>
      <c r="J22" s="107"/>
      <c r="K22" s="103"/>
      <c r="L22" s="45"/>
      <c r="M22" s="119"/>
      <c r="N22" s="2"/>
      <c r="O22" s="45"/>
      <c r="P22" s="45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</row>
    <row r="23" spans="1:249" s="101" customFormat="1" ht="12.75">
      <c r="A23" s="319" t="s">
        <v>157</v>
      </c>
      <c r="B23" s="104"/>
      <c r="C23" s="107"/>
      <c r="D23" s="107"/>
      <c r="E23" s="107"/>
      <c r="F23" s="103"/>
      <c r="G23" s="45"/>
      <c r="H23" s="107"/>
      <c r="I23" s="107"/>
      <c r="J23" s="107"/>
      <c r="K23" s="103"/>
      <c r="L23" s="45"/>
      <c r="M23" s="119"/>
      <c r="N23" s="2"/>
      <c r="O23" s="45"/>
      <c r="P23" s="45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</row>
    <row r="24" spans="1:249" s="101" customFormat="1" ht="13.5" thickBot="1">
      <c r="A24" s="122"/>
      <c r="B24" s="123"/>
      <c r="C24" s="124"/>
      <c r="D24" s="124"/>
      <c r="E24" s="125"/>
      <c r="F24" s="124"/>
      <c r="G24" s="124"/>
      <c r="H24" s="124"/>
      <c r="I24" s="124"/>
      <c r="J24" s="124"/>
      <c r="K24" s="124"/>
      <c r="L24" s="124"/>
      <c r="M24" s="48"/>
      <c r="N24" s="2"/>
      <c r="O24" s="45"/>
      <c r="P24" s="45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</row>
    <row r="25" spans="1:249" s="101" customFormat="1" ht="13.5" thickTop="1">
      <c r="A25" s="105"/>
      <c r="B25" s="102"/>
      <c r="C25" s="45"/>
      <c r="D25" s="45"/>
      <c r="E25" s="107"/>
      <c r="F25" s="45"/>
      <c r="G25" s="45"/>
      <c r="H25" s="45"/>
      <c r="I25" s="45"/>
      <c r="J25" s="45"/>
      <c r="K25" s="45"/>
      <c r="L25" s="45"/>
      <c r="M25" s="45"/>
      <c r="N25" s="2"/>
      <c r="O25" s="45"/>
      <c r="P25" s="45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</row>
    <row r="26" spans="1:249" s="101" customFormat="1" ht="12.75">
      <c r="A26" s="318" t="s">
        <v>96</v>
      </c>
      <c r="B26" s="56" t="s">
        <v>101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5"/>
      <c r="O26" s="45"/>
      <c r="P26" s="45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</row>
    <row r="27" spans="1:249" s="101" customFormat="1" ht="12.75">
      <c r="A27" s="318"/>
      <c r="B27" s="5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</row>
    <row r="28" spans="1:16" s="101" customFormat="1" ht="12.75">
      <c r="A28" s="315"/>
      <c r="B28" s="5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01" customFormat="1" ht="12.75">
      <c r="A29" s="315" t="s">
        <v>92</v>
      </c>
      <c r="B29" s="56" t="s">
        <v>121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01" customFormat="1" ht="12.75">
      <c r="A30" s="315"/>
      <c r="B30" s="5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01" customFormat="1" ht="12.75">
      <c r="A31" s="315" t="s">
        <v>93</v>
      </c>
      <c r="B31" s="56" t="s">
        <v>103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01" customFormat="1" ht="12.75">
      <c r="A32" s="315"/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01" customFormat="1" ht="12.75">
      <c r="A33" s="315" t="s">
        <v>94</v>
      </c>
      <c r="B33" s="56" t="s">
        <v>102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s="101" customFormat="1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01" customFormat="1" ht="12.75">
      <c r="A35" s="315" t="s">
        <v>95</v>
      </c>
      <c r="B35" s="101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s="101" customFormat="1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s="101" customFormat="1" ht="20.25">
      <c r="B37" s="419"/>
      <c r="C37" s="420"/>
      <c r="D37" s="420"/>
      <c r="E37" s="56"/>
      <c r="F37" s="56"/>
      <c r="G37" s="56"/>
      <c r="H37" s="56"/>
      <c r="I37" s="56"/>
      <c r="J37" s="56"/>
      <c r="K37" s="1"/>
      <c r="L37" s="1"/>
      <c r="M37" s="1"/>
      <c r="N37" s="1"/>
      <c r="O37" s="1"/>
      <c r="P37" s="1"/>
    </row>
    <row r="38" spans="2:16" s="101" customFormat="1" ht="20.25">
      <c r="B38" s="421"/>
      <c r="C38" s="422"/>
      <c r="D38" s="422"/>
      <c r="E38" s="422"/>
      <c r="F38" s="422"/>
      <c r="G38" s="422"/>
      <c r="H38" s="56"/>
      <c r="I38" s="56"/>
      <c r="J38" s="56"/>
      <c r="K38" s="1"/>
      <c r="L38" s="1"/>
      <c r="M38" s="1"/>
      <c r="N38" s="1"/>
      <c r="O38" s="1"/>
      <c r="P38" s="1"/>
    </row>
    <row r="39" spans="3:16" s="101" customFormat="1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s="101" customFormat="1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s="101" customFormat="1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s="101" customFormat="1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&amp;C&amp;9 3.4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64"/>
  <sheetViews>
    <sheetView zoomScaleSheetLayoutView="100" workbookViewId="0" topLeftCell="A1">
      <selection activeCell="C3" sqref="C3"/>
    </sheetView>
  </sheetViews>
  <sheetFormatPr defaultColWidth="11.421875" defaultRowHeight="12" customHeight="1"/>
  <cols>
    <col min="1" max="1" width="1.7109375" style="337" customWidth="1"/>
    <col min="2" max="2" width="23.00390625" style="337" customWidth="1"/>
    <col min="3" max="3" width="12.7109375" style="337" customWidth="1"/>
    <col min="4" max="4" width="11.7109375" style="337" customWidth="1"/>
    <col min="5" max="5" width="13.7109375" style="337" customWidth="1"/>
    <col min="6" max="6" width="11.7109375" style="337" customWidth="1"/>
    <col min="7" max="16384" width="11.421875" style="337" customWidth="1"/>
  </cols>
  <sheetData>
    <row r="1" spans="2:6" ht="15.75" customHeight="1">
      <c r="B1" s="342" t="s">
        <v>122</v>
      </c>
      <c r="C1" s="342"/>
      <c r="D1" s="342"/>
      <c r="E1" s="342"/>
      <c r="F1" s="343"/>
    </row>
    <row r="4" ht="12" customHeight="1" thickBot="1"/>
    <row r="5" spans="2:7" ht="12" customHeight="1" thickTop="1">
      <c r="B5" s="344"/>
      <c r="C5" s="345" t="s">
        <v>123</v>
      </c>
      <c r="D5" s="345" t="s">
        <v>81</v>
      </c>
      <c r="E5" s="346" t="s">
        <v>82</v>
      </c>
      <c r="F5" s="346" t="s">
        <v>135</v>
      </c>
      <c r="G5" s="347" t="s">
        <v>14</v>
      </c>
    </row>
    <row r="6" spans="2:7" ht="12" customHeight="1">
      <c r="B6" s="348"/>
      <c r="C6" s="349" t="s">
        <v>134</v>
      </c>
      <c r="D6" s="349" t="s">
        <v>134</v>
      </c>
      <c r="E6" s="349" t="s">
        <v>134</v>
      </c>
      <c r="F6" s="349" t="s">
        <v>134</v>
      </c>
      <c r="G6" s="350" t="s">
        <v>134</v>
      </c>
    </row>
    <row r="7" spans="2:7" ht="12" customHeight="1">
      <c r="B7" s="351" t="s">
        <v>20</v>
      </c>
      <c r="C7" s="374">
        <v>9701968</v>
      </c>
      <c r="D7" s="374">
        <f>391675+0</f>
        <v>391675</v>
      </c>
      <c r="E7" s="375">
        <f>104107+175992</f>
        <v>280099</v>
      </c>
      <c r="F7" s="352">
        <v>1520943</v>
      </c>
      <c r="G7" s="353">
        <f aca="true" t="shared" si="0" ref="G7:G18">SUM(C7:F7)</f>
        <v>11894685</v>
      </c>
    </row>
    <row r="8" spans="2:7" ht="12" customHeight="1">
      <c r="B8" s="333" t="s">
        <v>21</v>
      </c>
      <c r="C8" s="376">
        <v>8576845</v>
      </c>
      <c r="D8" s="389">
        <f>353815+13062</f>
        <v>366877</v>
      </c>
      <c r="E8" s="390">
        <f>110646+158546</f>
        <v>269192</v>
      </c>
      <c r="F8" s="335">
        <v>1411875</v>
      </c>
      <c r="G8" s="353">
        <f t="shared" si="0"/>
        <v>10624789</v>
      </c>
    </row>
    <row r="9" spans="2:7" ht="12" customHeight="1">
      <c r="B9" s="333" t="s">
        <v>22</v>
      </c>
      <c r="C9" s="376">
        <v>9196698</v>
      </c>
      <c r="D9" s="393">
        <f>386451+28015</f>
        <v>414466</v>
      </c>
      <c r="E9" s="388">
        <f>145658+170294</f>
        <v>315952</v>
      </c>
      <c r="F9" s="335">
        <v>1147638</v>
      </c>
      <c r="G9" s="353">
        <f t="shared" si="0"/>
        <v>11074754</v>
      </c>
    </row>
    <row r="10" spans="2:7" ht="12" customHeight="1">
      <c r="B10" s="333" t="s">
        <v>23</v>
      </c>
      <c r="C10" s="377">
        <v>8375053</v>
      </c>
      <c r="D10" s="393">
        <f>337900+0</f>
        <v>337900</v>
      </c>
      <c r="E10" s="388">
        <f>86395+165248</f>
        <v>251643</v>
      </c>
      <c r="F10" s="334">
        <v>1313293</v>
      </c>
      <c r="G10" s="353">
        <f t="shared" si="0"/>
        <v>10277889</v>
      </c>
    </row>
    <row r="11" spans="2:7" ht="12" customHeight="1">
      <c r="B11" s="354" t="s">
        <v>24</v>
      </c>
      <c r="C11" s="376">
        <v>8380881</v>
      </c>
      <c r="D11" s="393">
        <f>211611+0</f>
        <v>211611</v>
      </c>
      <c r="E11" s="388">
        <f>125054+173028</f>
        <v>298082</v>
      </c>
      <c r="F11" s="335">
        <v>1546231</v>
      </c>
      <c r="G11" s="336">
        <f t="shared" si="0"/>
        <v>10436805</v>
      </c>
    </row>
    <row r="12" spans="2:7" ht="12" customHeight="1">
      <c r="B12" s="354" t="s">
        <v>25</v>
      </c>
      <c r="C12" s="335">
        <v>109947</v>
      </c>
      <c r="D12" s="393">
        <f>364413+0</f>
        <v>364413</v>
      </c>
      <c r="E12" s="388">
        <f>136686+167932</f>
        <v>304618</v>
      </c>
      <c r="F12" s="335">
        <v>1491755</v>
      </c>
      <c r="G12" s="336">
        <f t="shared" si="0"/>
        <v>2270733</v>
      </c>
    </row>
    <row r="13" spans="2:7" ht="12" customHeight="1">
      <c r="B13" s="354" t="s">
        <v>26</v>
      </c>
      <c r="C13" s="335">
        <v>0</v>
      </c>
      <c r="D13" s="391">
        <f>354266+0</f>
        <v>354266</v>
      </c>
      <c r="E13" s="392">
        <f>195036+172492</f>
        <v>367528</v>
      </c>
      <c r="F13" s="335">
        <v>1417641</v>
      </c>
      <c r="G13" s="336">
        <f t="shared" si="0"/>
        <v>2139435</v>
      </c>
    </row>
    <row r="14" spans="2:7" ht="12" customHeight="1">
      <c r="B14" s="354" t="s">
        <v>27</v>
      </c>
      <c r="C14" s="335">
        <v>0</v>
      </c>
      <c r="D14" s="335">
        <v>354769</v>
      </c>
      <c r="E14" s="388">
        <v>284264</v>
      </c>
      <c r="F14" s="335">
        <v>1203314</v>
      </c>
      <c r="G14" s="336">
        <f t="shared" si="0"/>
        <v>1842347</v>
      </c>
    </row>
    <row r="15" spans="2:7" ht="12" customHeight="1">
      <c r="B15" s="354" t="s">
        <v>28</v>
      </c>
      <c r="C15" s="335">
        <v>0</v>
      </c>
      <c r="D15" s="335">
        <v>335279</v>
      </c>
      <c r="E15" s="388">
        <v>286725</v>
      </c>
      <c r="F15" s="335">
        <v>1437351</v>
      </c>
      <c r="G15" s="336">
        <f t="shared" si="0"/>
        <v>2059355</v>
      </c>
    </row>
    <row r="16" spans="2:7" ht="12" customHeight="1">
      <c r="B16" s="354" t="s">
        <v>29</v>
      </c>
      <c r="C16" s="335">
        <v>0</v>
      </c>
      <c r="D16" s="335">
        <v>345051</v>
      </c>
      <c r="E16" s="388">
        <v>295446</v>
      </c>
      <c r="F16" s="335">
        <v>1510665</v>
      </c>
      <c r="G16" s="336">
        <f t="shared" si="0"/>
        <v>2151162</v>
      </c>
    </row>
    <row r="17" spans="2:7" ht="12" customHeight="1">
      <c r="B17" s="354" t="s">
        <v>30</v>
      </c>
      <c r="C17" s="335">
        <v>0</v>
      </c>
      <c r="D17" s="335">
        <v>323418</v>
      </c>
      <c r="E17" s="388">
        <v>294528</v>
      </c>
      <c r="F17" s="335">
        <v>1387136</v>
      </c>
      <c r="G17" s="336">
        <f t="shared" si="0"/>
        <v>2005082</v>
      </c>
    </row>
    <row r="18" spans="2:7" ht="12" customHeight="1">
      <c r="B18" s="354" t="s">
        <v>31</v>
      </c>
      <c r="C18" s="386">
        <v>0</v>
      </c>
      <c r="D18" s="386">
        <v>228104</v>
      </c>
      <c r="E18" s="375">
        <v>254656</v>
      </c>
      <c r="F18" s="387">
        <v>1385001</v>
      </c>
      <c r="G18" s="336">
        <f t="shared" si="0"/>
        <v>1867761</v>
      </c>
    </row>
    <row r="19" spans="2:7" ht="12" customHeight="1" thickBot="1">
      <c r="B19" s="355" t="s">
        <v>14</v>
      </c>
      <c r="C19" s="356">
        <f>SUM(C7:C18)</f>
        <v>44341392</v>
      </c>
      <c r="D19" s="356">
        <f>SUM(D7:D18)</f>
        <v>4027829</v>
      </c>
      <c r="E19" s="357">
        <f>SUM(E7:E18)</f>
        <v>3502733</v>
      </c>
      <c r="F19" s="357">
        <f>SUM(F7:F18)</f>
        <v>16772843</v>
      </c>
      <c r="G19" s="358">
        <f>SUM(G7:G18)</f>
        <v>68644797</v>
      </c>
    </row>
    <row r="20" spans="2:6" ht="12" customHeight="1" thickTop="1">
      <c r="B20" s="359"/>
      <c r="C20" s="359"/>
      <c r="D20" s="359"/>
      <c r="E20" s="359"/>
      <c r="F20" s="359"/>
    </row>
    <row r="21" spans="2:6" ht="12" customHeight="1">
      <c r="B21" s="359"/>
      <c r="C21" s="359"/>
      <c r="D21" s="359"/>
      <c r="E21" s="359"/>
      <c r="F21" s="359"/>
    </row>
    <row r="22" spans="2:6" ht="12" customHeight="1">
      <c r="B22" s="359"/>
      <c r="C22" s="359"/>
      <c r="D22" s="359"/>
      <c r="E22" s="359"/>
      <c r="F22" s="359"/>
    </row>
    <row r="23" spans="2:6" ht="12" customHeight="1">
      <c r="B23" s="359"/>
      <c r="C23" s="359"/>
      <c r="D23" s="359"/>
      <c r="E23" s="359"/>
      <c r="F23" s="359"/>
    </row>
    <row r="24" spans="2:6" ht="12" customHeight="1">
      <c r="B24" s="359"/>
      <c r="C24" s="359"/>
      <c r="D24" s="359"/>
      <c r="E24" s="359"/>
      <c r="F24" s="359"/>
    </row>
    <row r="25" spans="2:6" ht="12" customHeight="1">
      <c r="B25" s="359"/>
      <c r="C25" s="359"/>
      <c r="D25" s="359"/>
      <c r="E25" s="359"/>
      <c r="F25" s="359"/>
    </row>
    <row r="26" spans="2:6" ht="12" customHeight="1">
      <c r="B26" s="359"/>
      <c r="C26" s="359"/>
      <c r="D26" s="359"/>
      <c r="E26" s="359"/>
      <c r="F26" s="359"/>
    </row>
    <row r="27" spans="2:6" ht="12" customHeight="1">
      <c r="B27" s="359"/>
      <c r="C27" s="359"/>
      <c r="D27" s="359"/>
      <c r="E27" s="359"/>
      <c r="F27" s="359"/>
    </row>
    <row r="28" spans="2:6" ht="12" customHeight="1">
      <c r="B28" s="359"/>
      <c r="C28" s="359"/>
      <c r="D28" s="359"/>
      <c r="E28" s="359"/>
      <c r="F28" s="359"/>
    </row>
    <row r="29" spans="2:6" ht="12" customHeight="1">
      <c r="B29" s="359"/>
      <c r="C29" s="359"/>
      <c r="D29" s="359"/>
      <c r="E29" s="359"/>
      <c r="F29" s="359"/>
    </row>
    <row r="30" spans="2:6" ht="12" customHeight="1">
      <c r="B30" s="359"/>
      <c r="C30" s="359"/>
      <c r="D30" s="359"/>
      <c r="E30" s="359"/>
      <c r="F30" s="359"/>
    </row>
    <row r="31" spans="2:6" ht="12" customHeight="1">
      <c r="B31" s="359"/>
      <c r="C31" s="359"/>
      <c r="D31" s="359"/>
      <c r="E31" s="359"/>
      <c r="F31" s="359"/>
    </row>
    <row r="32" spans="2:6" ht="12" customHeight="1">
      <c r="B32" s="359"/>
      <c r="C32" s="359"/>
      <c r="D32" s="359"/>
      <c r="E32" s="359"/>
      <c r="F32" s="359"/>
    </row>
    <row r="33" spans="2:6" ht="12" customHeight="1">
      <c r="B33" s="359"/>
      <c r="C33" s="359"/>
      <c r="D33" s="359"/>
      <c r="E33" s="359"/>
      <c r="F33" s="359"/>
    </row>
    <row r="34" spans="2:6" ht="12" customHeight="1">
      <c r="B34" s="359"/>
      <c r="C34" s="359"/>
      <c r="D34" s="359"/>
      <c r="E34" s="359"/>
      <c r="F34" s="359"/>
    </row>
    <row r="35" spans="2:6" ht="12" customHeight="1">
      <c r="B35" s="359"/>
      <c r="C35" s="359"/>
      <c r="D35" s="359"/>
      <c r="E35" s="359"/>
      <c r="F35" s="359"/>
    </row>
    <row r="36" spans="2:6" ht="12" customHeight="1">
      <c r="B36" s="359"/>
      <c r="C36" s="359"/>
      <c r="D36" s="359"/>
      <c r="E36" s="359"/>
      <c r="F36" s="359"/>
    </row>
    <row r="37" spans="2:6" ht="12" customHeight="1">
      <c r="B37" s="360"/>
      <c r="C37" s="360"/>
      <c r="D37" s="360"/>
      <c r="E37" s="360"/>
      <c r="F37" s="360"/>
    </row>
    <row r="38" spans="2:6" ht="12" customHeight="1">
      <c r="B38" s="360"/>
      <c r="C38" s="360"/>
      <c r="D38" s="360"/>
      <c r="E38" s="360"/>
      <c r="F38" s="360"/>
    </row>
    <row r="39" spans="2:6" ht="12" customHeight="1">
      <c r="B39" s="360"/>
      <c r="C39" s="360"/>
      <c r="D39" s="360"/>
      <c r="E39" s="360"/>
      <c r="F39" s="360"/>
    </row>
    <row r="40" spans="2:6" ht="12" customHeight="1">
      <c r="B40" s="360"/>
      <c r="C40" s="360"/>
      <c r="D40" s="360"/>
      <c r="E40" s="360"/>
      <c r="F40" s="360"/>
    </row>
    <row r="41" spans="2:6" ht="12" customHeight="1">
      <c r="B41" s="360"/>
      <c r="C41" s="360"/>
      <c r="D41" s="360"/>
      <c r="E41" s="360"/>
      <c r="F41" s="360"/>
    </row>
    <row r="42" spans="2:6" ht="12" customHeight="1">
      <c r="B42" s="360"/>
      <c r="C42" s="360"/>
      <c r="D42" s="360"/>
      <c r="E42" s="360"/>
      <c r="F42" s="360"/>
    </row>
    <row r="43" spans="2:3" ht="12" customHeight="1">
      <c r="B43" s="359"/>
      <c r="C43" s="359"/>
    </row>
    <row r="44" spans="2:3" ht="12" customHeight="1" thickBot="1">
      <c r="B44" s="360"/>
      <c r="C44" s="360"/>
    </row>
    <row r="45" spans="2:6" ht="12" customHeight="1" thickTop="1">
      <c r="B45" s="361"/>
      <c r="C45" s="453"/>
      <c r="D45" s="453"/>
      <c r="E45" s="453"/>
      <c r="F45" s="454"/>
    </row>
    <row r="46" spans="2:6" ht="12" customHeight="1">
      <c r="B46" s="362"/>
      <c r="C46" s="363" t="s">
        <v>123</v>
      </c>
      <c r="D46" s="363" t="s">
        <v>81</v>
      </c>
      <c r="E46" s="364" t="s">
        <v>82</v>
      </c>
      <c r="F46" s="365" t="s">
        <v>135</v>
      </c>
    </row>
    <row r="47" spans="2:6" ht="12" customHeight="1">
      <c r="B47" s="366"/>
      <c r="C47" s="349" t="s">
        <v>134</v>
      </c>
      <c r="D47" s="349" t="s">
        <v>134</v>
      </c>
      <c r="E47" s="367" t="s">
        <v>134</v>
      </c>
      <c r="F47" s="350" t="s">
        <v>134</v>
      </c>
    </row>
    <row r="48" spans="2:6" ht="12" customHeight="1">
      <c r="B48" s="378" t="s">
        <v>152</v>
      </c>
      <c r="C48" s="374">
        <v>1905351285</v>
      </c>
      <c r="D48" s="374">
        <v>44943621</v>
      </c>
      <c r="E48" s="379">
        <v>69579842</v>
      </c>
      <c r="F48" s="380">
        <v>61038831</v>
      </c>
    </row>
    <row r="49" spans="2:6" ht="12" customHeight="1">
      <c r="B49" s="368" t="s">
        <v>20</v>
      </c>
      <c r="C49" s="369">
        <f aca="true" t="shared" si="1" ref="C49:C60">+C48+C7</f>
        <v>1915053253</v>
      </c>
      <c r="D49" s="369">
        <f aca="true" t="shared" si="2" ref="D49:D60">+D48+D7</f>
        <v>45335296</v>
      </c>
      <c r="E49" s="370">
        <f aca="true" t="shared" si="3" ref="E49:F60">+E48+E7</f>
        <v>69859941</v>
      </c>
      <c r="F49" s="371">
        <f t="shared" si="3"/>
        <v>62559774</v>
      </c>
    </row>
    <row r="50" spans="2:6" ht="12" customHeight="1">
      <c r="B50" s="368" t="s">
        <v>21</v>
      </c>
      <c r="C50" s="369">
        <f t="shared" si="1"/>
        <v>1923630098</v>
      </c>
      <c r="D50" s="369">
        <f t="shared" si="2"/>
        <v>45702173</v>
      </c>
      <c r="E50" s="370">
        <f t="shared" si="3"/>
        <v>70129133</v>
      </c>
      <c r="F50" s="371">
        <f t="shared" si="3"/>
        <v>63971649</v>
      </c>
    </row>
    <row r="51" spans="2:6" ht="12" customHeight="1">
      <c r="B51" s="368" t="s">
        <v>22</v>
      </c>
      <c r="C51" s="369">
        <f t="shared" si="1"/>
        <v>1932826796</v>
      </c>
      <c r="D51" s="369">
        <f t="shared" si="2"/>
        <v>46116639</v>
      </c>
      <c r="E51" s="370">
        <f t="shared" si="3"/>
        <v>70445085</v>
      </c>
      <c r="F51" s="371">
        <f t="shared" si="3"/>
        <v>65119287</v>
      </c>
    </row>
    <row r="52" spans="2:6" ht="12" customHeight="1">
      <c r="B52" s="368" t="s">
        <v>23</v>
      </c>
      <c r="C52" s="369">
        <f t="shared" si="1"/>
        <v>1941201849</v>
      </c>
      <c r="D52" s="369">
        <f t="shared" si="2"/>
        <v>46454539</v>
      </c>
      <c r="E52" s="370">
        <f t="shared" si="3"/>
        <v>70696728</v>
      </c>
      <c r="F52" s="371">
        <f aca="true" t="shared" si="4" ref="F52:F60">+F51+F10</f>
        <v>66432580</v>
      </c>
    </row>
    <row r="53" spans="2:6" ht="12" customHeight="1">
      <c r="B53" s="368" t="s">
        <v>24</v>
      </c>
      <c r="C53" s="369">
        <f t="shared" si="1"/>
        <v>1949582730</v>
      </c>
      <c r="D53" s="369">
        <f t="shared" si="2"/>
        <v>46666150</v>
      </c>
      <c r="E53" s="370">
        <f t="shared" si="3"/>
        <v>70994810</v>
      </c>
      <c r="F53" s="371">
        <f t="shared" si="4"/>
        <v>67978811</v>
      </c>
    </row>
    <row r="54" spans="2:6" ht="12" customHeight="1">
      <c r="B54" s="368" t="s">
        <v>25</v>
      </c>
      <c r="C54" s="369">
        <f t="shared" si="1"/>
        <v>1949692677</v>
      </c>
      <c r="D54" s="369">
        <f t="shared" si="2"/>
        <v>47030563</v>
      </c>
      <c r="E54" s="370">
        <f t="shared" si="3"/>
        <v>71299428</v>
      </c>
      <c r="F54" s="371">
        <f t="shared" si="4"/>
        <v>69470566</v>
      </c>
    </row>
    <row r="55" spans="2:6" ht="12" customHeight="1">
      <c r="B55" s="368" t="s">
        <v>26</v>
      </c>
      <c r="C55" s="369">
        <f t="shared" si="1"/>
        <v>1949692677</v>
      </c>
      <c r="D55" s="369">
        <f t="shared" si="2"/>
        <v>47384829</v>
      </c>
      <c r="E55" s="370">
        <f t="shared" si="3"/>
        <v>71666956</v>
      </c>
      <c r="F55" s="371">
        <f t="shared" si="4"/>
        <v>70888207</v>
      </c>
    </row>
    <row r="56" spans="2:6" ht="12" customHeight="1">
      <c r="B56" s="368" t="s">
        <v>27</v>
      </c>
      <c r="C56" s="369">
        <f t="shared" si="1"/>
        <v>1949692677</v>
      </c>
      <c r="D56" s="369">
        <f t="shared" si="2"/>
        <v>47739598</v>
      </c>
      <c r="E56" s="370">
        <f t="shared" si="3"/>
        <v>71951220</v>
      </c>
      <c r="F56" s="371">
        <f t="shared" si="4"/>
        <v>72091521</v>
      </c>
    </row>
    <row r="57" spans="2:6" ht="12" customHeight="1">
      <c r="B57" s="368" t="s">
        <v>28</v>
      </c>
      <c r="C57" s="369">
        <f t="shared" si="1"/>
        <v>1949692677</v>
      </c>
      <c r="D57" s="369">
        <f t="shared" si="2"/>
        <v>48074877</v>
      </c>
      <c r="E57" s="370">
        <f t="shared" si="3"/>
        <v>72237945</v>
      </c>
      <c r="F57" s="371">
        <f t="shared" si="4"/>
        <v>73528872</v>
      </c>
    </row>
    <row r="58" spans="2:6" ht="12" customHeight="1">
      <c r="B58" s="368" t="s">
        <v>29</v>
      </c>
      <c r="C58" s="369">
        <f t="shared" si="1"/>
        <v>1949692677</v>
      </c>
      <c r="D58" s="369">
        <f t="shared" si="2"/>
        <v>48419928</v>
      </c>
      <c r="E58" s="370">
        <f t="shared" si="3"/>
        <v>72533391</v>
      </c>
      <c r="F58" s="371">
        <f t="shared" si="4"/>
        <v>75039537</v>
      </c>
    </row>
    <row r="59" spans="2:6" ht="12" customHeight="1">
      <c r="B59" s="368" t="s">
        <v>30</v>
      </c>
      <c r="C59" s="369">
        <f t="shared" si="1"/>
        <v>1949692677</v>
      </c>
      <c r="D59" s="369">
        <f t="shared" si="2"/>
        <v>48743346</v>
      </c>
      <c r="E59" s="370">
        <f t="shared" si="3"/>
        <v>72827919</v>
      </c>
      <c r="F59" s="371">
        <f t="shared" si="4"/>
        <v>76426673</v>
      </c>
    </row>
    <row r="60" spans="2:6" ht="12" customHeight="1" thickBot="1">
      <c r="B60" s="338" t="s">
        <v>31</v>
      </c>
      <c r="C60" s="339">
        <f t="shared" si="1"/>
        <v>1949692677</v>
      </c>
      <c r="D60" s="339">
        <f t="shared" si="2"/>
        <v>48971450</v>
      </c>
      <c r="E60" s="340">
        <f t="shared" si="3"/>
        <v>73082575</v>
      </c>
      <c r="F60" s="341">
        <f t="shared" si="4"/>
        <v>77811674</v>
      </c>
    </row>
    <row r="61" ht="12" customHeight="1" thickTop="1"/>
    <row r="62" spans="2:4" ht="12" customHeight="1">
      <c r="B62" s="381" t="s">
        <v>146</v>
      </c>
      <c r="C62" s="381"/>
      <c r="D62" s="381"/>
    </row>
    <row r="63" spans="2:4" ht="12" customHeight="1">
      <c r="B63" s="381" t="s">
        <v>147</v>
      </c>
      <c r="C63" s="381"/>
      <c r="D63" s="381">
        <f>29591895+4362911</f>
        <v>33954806</v>
      </c>
    </row>
    <row r="64" spans="2:4" ht="12" customHeight="1">
      <c r="B64" s="381" t="s">
        <v>148</v>
      </c>
      <c r="C64" s="381"/>
      <c r="D64" s="381">
        <f>+D63-D60</f>
        <v>-15016644</v>
      </c>
    </row>
  </sheetData>
  <mergeCells count="1">
    <mergeCell ref="C45:F45"/>
  </mergeCells>
  <printOptions horizontalCentered="1" verticalCentered="1"/>
  <pageMargins left="0.71" right="0.28" top="0.64" bottom="0.5905511811023623" header="0.3937007874015748" footer="0.3937007874015748"/>
  <pageSetup horizontalDpi="600" verticalDpi="600" orientation="portrait" paperSize="9" r:id="rId2"/>
  <headerFooter alignWithMargins="0">
    <oddFooter>&amp;C&amp;9 3.5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25">
      <selection activeCell="J26" sqref="J26"/>
    </sheetView>
  </sheetViews>
  <sheetFormatPr defaultColWidth="12.57421875" defaultRowHeight="12.75"/>
  <cols>
    <col min="1" max="1" width="4.7109375" style="56" customWidth="1"/>
    <col min="2" max="2" width="15.7109375" style="56" customWidth="1"/>
    <col min="3" max="3" width="2.7109375" style="56" customWidth="1"/>
    <col min="4" max="4" width="16.7109375" style="56" customWidth="1"/>
    <col min="5" max="5" width="1.7109375" style="56" customWidth="1"/>
    <col min="6" max="6" width="13.7109375" style="56" customWidth="1"/>
    <col min="7" max="7" width="2.7109375" style="56" customWidth="1"/>
    <col min="8" max="8" width="16.7109375" style="56" customWidth="1"/>
    <col min="9" max="9" width="1.7109375" style="56" customWidth="1"/>
    <col min="10" max="10" width="13.7109375" style="56" customWidth="1"/>
    <col min="11" max="11" width="5.00390625" style="56" customWidth="1"/>
    <col min="12" max="16384" width="12.57421875" style="56" customWidth="1"/>
  </cols>
  <sheetData>
    <row r="1" spans="1:3" ht="15.75">
      <c r="A1" s="149" t="s">
        <v>38</v>
      </c>
      <c r="B1" s="61" t="s">
        <v>124</v>
      </c>
      <c r="C1" s="61"/>
    </row>
    <row r="2" spans="2:3" ht="15.75">
      <c r="B2" s="61" t="s">
        <v>39</v>
      </c>
      <c r="C2" s="61"/>
    </row>
    <row r="5" spans="2:3" ht="13.5" thickBot="1">
      <c r="B5"/>
      <c r="C5"/>
    </row>
    <row r="6" spans="1:11" ht="13.5" thickTop="1">
      <c r="A6" s="158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2.75">
      <c r="A7" s="159"/>
      <c r="B7" s="65"/>
      <c r="C7" s="65"/>
      <c r="D7" s="130"/>
      <c r="E7" s="66"/>
      <c r="F7" s="66"/>
      <c r="G7" s="66"/>
      <c r="H7" s="68" t="s">
        <v>125</v>
      </c>
      <c r="I7" s="69"/>
      <c r="J7" s="69"/>
      <c r="K7" s="92"/>
    </row>
    <row r="8" spans="1:11" ht="12.75">
      <c r="A8" s="159"/>
      <c r="B8" s="67" t="s">
        <v>1</v>
      </c>
      <c r="C8" s="67"/>
      <c r="D8" s="97" t="s">
        <v>126</v>
      </c>
      <c r="E8" s="97"/>
      <c r="F8" s="99"/>
      <c r="G8" s="66"/>
      <c r="H8" s="97" t="s">
        <v>0</v>
      </c>
      <c r="I8" s="99"/>
      <c r="J8" s="99"/>
      <c r="K8" s="92"/>
    </row>
    <row r="9" spans="1:11" ht="12.75">
      <c r="A9" s="159"/>
      <c r="B9" s="77" t="s">
        <v>3</v>
      </c>
      <c r="C9" s="77"/>
      <c r="D9" s="150" t="s">
        <v>166</v>
      </c>
      <c r="E9" s="151"/>
      <c r="F9" s="150" t="s">
        <v>32</v>
      </c>
      <c r="G9" s="152"/>
      <c r="H9" s="150" t="s">
        <v>166</v>
      </c>
      <c r="I9" s="153"/>
      <c r="J9" s="150" t="s">
        <v>32</v>
      </c>
      <c r="K9" s="92"/>
    </row>
    <row r="10" spans="1:11" ht="12.75">
      <c r="A10" s="159"/>
      <c r="B10" s="57"/>
      <c r="C10" s="57"/>
      <c r="D10" s="57"/>
      <c r="E10" s="57"/>
      <c r="F10" s="57"/>
      <c r="H10" s="57"/>
      <c r="I10" s="57"/>
      <c r="J10" s="57"/>
      <c r="K10" s="92"/>
    </row>
    <row r="11" spans="1:11" ht="12.75">
      <c r="A11" s="159"/>
      <c r="B11" s="154" t="s">
        <v>5</v>
      </c>
      <c r="C11" s="154"/>
      <c r="D11" s="75">
        <f>+'31PP'!C11</f>
        <v>5397</v>
      </c>
      <c r="E11" s="70"/>
      <c r="F11" s="71">
        <f aca="true" t="shared" si="0" ref="F11:F18">D11/D$20*100</f>
        <v>2.718972503464838</v>
      </c>
      <c r="G11" s="70"/>
      <c r="H11" s="75">
        <f>+'31PP'!G11</f>
        <v>2275841</v>
      </c>
      <c r="I11" s="70"/>
      <c r="J11" s="71">
        <f aca="true" t="shared" si="1" ref="J11:J18">+H11/H$20*100</f>
        <v>8.954162932062152</v>
      </c>
      <c r="K11" s="92"/>
    </row>
    <row r="12" spans="1:11" ht="38.25">
      <c r="A12" s="159"/>
      <c r="B12" s="155" t="s">
        <v>40</v>
      </c>
      <c r="C12" s="155"/>
      <c r="D12" s="322">
        <f>+'31PP'!C14</f>
        <v>66766</v>
      </c>
      <c r="E12" s="76"/>
      <c r="F12" s="162">
        <f t="shared" si="0"/>
        <v>33.636264251683045</v>
      </c>
      <c r="G12" s="70"/>
      <c r="H12" s="156">
        <f>+'31PP'!G14</f>
        <v>19716813</v>
      </c>
      <c r="I12" s="76"/>
      <c r="J12" s="162">
        <f t="shared" si="1"/>
        <v>77.57464431961687</v>
      </c>
      <c r="K12" s="92"/>
    </row>
    <row r="13" spans="1:11" ht="12.75">
      <c r="A13" s="159"/>
      <c r="B13" s="157" t="s">
        <v>11</v>
      </c>
      <c r="C13" s="157"/>
      <c r="D13" s="322">
        <f>+'31PP'!C17</f>
        <v>35393</v>
      </c>
      <c r="E13" s="76"/>
      <c r="F13" s="162">
        <f t="shared" si="0"/>
        <v>17.830756682440434</v>
      </c>
      <c r="G13" s="70"/>
      <c r="H13" s="156">
        <f>+'31PP'!G17</f>
        <v>909334</v>
      </c>
      <c r="I13" s="76"/>
      <c r="J13" s="162">
        <f t="shared" si="1"/>
        <v>3.5777212888175427</v>
      </c>
      <c r="K13" s="92"/>
    </row>
    <row r="14" spans="1:11" ht="38.25">
      <c r="A14" s="159"/>
      <c r="B14" s="155" t="s">
        <v>42</v>
      </c>
      <c r="C14" s="155"/>
      <c r="D14" s="323">
        <f>+'31PP'!C20</f>
        <v>32590</v>
      </c>
      <c r="E14" s="155"/>
      <c r="F14" s="162">
        <f t="shared" si="0"/>
        <v>16.418624029631108</v>
      </c>
      <c r="G14" s="155"/>
      <c r="H14" s="155">
        <f>+'31PP'!G20</f>
        <v>687456</v>
      </c>
      <c r="I14" s="155"/>
      <c r="J14" s="162">
        <f t="shared" si="1"/>
        <v>2.704755311387623</v>
      </c>
      <c r="K14" s="92"/>
    </row>
    <row r="15" spans="1:11" ht="12.75">
      <c r="A15" s="159"/>
      <c r="B15" s="154" t="s">
        <v>136</v>
      </c>
      <c r="C15" s="154"/>
      <c r="D15" s="324">
        <f>+'34PG'!E13</f>
        <v>37690.2</v>
      </c>
      <c r="E15" s="154"/>
      <c r="F15" s="162">
        <f t="shared" si="0"/>
        <v>18.98807067817129</v>
      </c>
      <c r="G15" s="154"/>
      <c r="H15" s="154">
        <f>+'34PG'!J13</f>
        <v>1657239</v>
      </c>
      <c r="I15" s="154"/>
      <c r="J15" s="162">
        <f t="shared" si="1"/>
        <v>6.5203096452554234</v>
      </c>
      <c r="K15" s="92"/>
    </row>
    <row r="16" spans="1:11" ht="12.75">
      <c r="A16" s="159"/>
      <c r="B16" s="154" t="s">
        <v>137</v>
      </c>
      <c r="C16" s="154"/>
      <c r="D16" s="324">
        <f>+'34PG'!E15</f>
        <v>3423.7</v>
      </c>
      <c r="E16" s="154"/>
      <c r="F16" s="162">
        <f t="shared" si="0"/>
        <v>1.7248371614068125</v>
      </c>
      <c r="G16" s="154"/>
      <c r="H16" s="154">
        <f>+'34PG'!J15</f>
        <v>41626</v>
      </c>
      <c r="I16" s="154"/>
      <c r="J16" s="162">
        <f t="shared" si="1"/>
        <v>0.16377505555529545</v>
      </c>
      <c r="K16" s="92"/>
    </row>
    <row r="17" spans="1:11" ht="12.75">
      <c r="A17" s="159"/>
      <c r="B17" s="154" t="s">
        <v>84</v>
      </c>
      <c r="C17" s="154"/>
      <c r="D17" s="324">
        <f>+'34PG'!E17</f>
        <v>2977.3</v>
      </c>
      <c r="E17" s="154"/>
      <c r="F17" s="162">
        <f t="shared" si="0"/>
        <v>1.499943827045741</v>
      </c>
      <c r="G17" s="154"/>
      <c r="H17" s="154">
        <f>+'34PG'!J17</f>
        <v>62120</v>
      </c>
      <c r="I17" s="154"/>
      <c r="J17" s="162">
        <f t="shared" si="1"/>
        <v>0.24440749654290475</v>
      </c>
      <c r="K17" s="92"/>
    </row>
    <row r="18" spans="1:11" ht="12.75">
      <c r="A18" s="159"/>
      <c r="B18" s="154" t="s">
        <v>138</v>
      </c>
      <c r="C18" s="154"/>
      <c r="D18" s="324">
        <f>+'34PG'!E19</f>
        <v>14256.9</v>
      </c>
      <c r="E18" s="154"/>
      <c r="F18" s="162">
        <f t="shared" si="0"/>
        <v>7.182530866156727</v>
      </c>
      <c r="G18" s="154"/>
      <c r="H18" s="154">
        <f>+'34PG'!J19</f>
        <v>66140</v>
      </c>
      <c r="I18" s="154"/>
      <c r="J18" s="162">
        <f t="shared" si="1"/>
        <v>0.2602239507621977</v>
      </c>
      <c r="K18" s="92"/>
    </row>
    <row r="19" spans="1:11" ht="12.75">
      <c r="A19" s="159"/>
      <c r="B19" s="57"/>
      <c r="C19" s="57"/>
      <c r="D19" s="57"/>
      <c r="E19" s="57"/>
      <c r="F19" s="63"/>
      <c r="H19" s="57"/>
      <c r="I19" s="57"/>
      <c r="J19" s="63"/>
      <c r="K19" s="92"/>
    </row>
    <row r="20" spans="1:11" ht="12.75">
      <c r="A20" s="159"/>
      <c r="B20" s="145" t="s">
        <v>43</v>
      </c>
      <c r="C20" s="145"/>
      <c r="D20" s="140">
        <f>SUM(D11:D19)</f>
        <v>198494.1</v>
      </c>
      <c r="E20" s="146"/>
      <c r="F20" s="147">
        <f>SUM(F11:F19)</f>
        <v>100</v>
      </c>
      <c r="G20" s="146"/>
      <c r="H20" s="140">
        <f>SUM(H11:H19)</f>
        <v>25416569</v>
      </c>
      <c r="I20" s="146"/>
      <c r="J20" s="147">
        <f>SUM(J11:J19)</f>
        <v>100</v>
      </c>
      <c r="K20" s="92"/>
    </row>
    <row r="21" spans="1:11" ht="13.5" thickBot="1">
      <c r="A21" s="160"/>
      <c r="B21" s="94"/>
      <c r="C21" s="94"/>
      <c r="D21" s="95"/>
      <c r="E21" s="95"/>
      <c r="F21" s="95"/>
      <c r="G21" s="95"/>
      <c r="H21" s="95"/>
      <c r="I21" s="95"/>
      <c r="J21" s="95"/>
      <c r="K21" s="161"/>
    </row>
    <row r="22" spans="2:10" ht="13.5" thickTop="1">
      <c r="B22" s="57"/>
      <c r="C22" s="57"/>
      <c r="D22" s="57"/>
      <c r="E22" s="57"/>
      <c r="F22" s="57"/>
      <c r="G22" s="57"/>
      <c r="H22" s="57"/>
      <c r="I22" s="57"/>
      <c r="J22" s="57"/>
    </row>
    <row r="23" spans="2:3" ht="12.75">
      <c r="B23" s="58" t="s">
        <v>127</v>
      </c>
      <c r="C23" s="58"/>
    </row>
    <row r="25" spans="2:3" ht="12.75">
      <c r="B25" s="58" t="s">
        <v>44</v>
      </c>
      <c r="C25" s="58"/>
    </row>
    <row r="26" spans="2:3" ht="12.75">
      <c r="B26" s="58"/>
      <c r="C26" s="58"/>
    </row>
    <row r="103" spans="2:3" ht="12.75">
      <c r="B103" s="58"/>
      <c r="C103" s="58"/>
    </row>
    <row r="106" spans="2:3" ht="12.75">
      <c r="B106" s="58"/>
      <c r="C106" s="58"/>
    </row>
  </sheetData>
  <printOptions horizontalCentered="1"/>
  <pageMargins left="0.65" right="0.2" top="0.5905511811023623" bottom="0.5905511811023623" header="0.4" footer="0.3937007874015748"/>
  <pageSetup horizontalDpi="600" verticalDpi="600" orientation="portrait" paperSize="9" r:id="rId2"/>
  <headerFooter alignWithMargins="0">
    <oddFooter>&amp;C&amp;9 3.6</oddFooter>
  </headerFooter>
  <ignoredErrors>
    <ignoredError sqref="F11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SheetLayoutView="100" workbookViewId="0" topLeftCell="A1">
      <selection activeCell="J22" sqref="J22"/>
    </sheetView>
  </sheetViews>
  <sheetFormatPr defaultColWidth="12.57421875" defaultRowHeight="12.75"/>
  <cols>
    <col min="1" max="1" width="4.7109375" style="56" customWidth="1"/>
    <col min="2" max="3" width="25.7109375" style="56" customWidth="1"/>
    <col min="4" max="4" width="16.7109375" style="56" customWidth="1"/>
    <col min="5" max="5" width="10.7109375" style="56" customWidth="1"/>
    <col min="6" max="6" width="8.8515625" style="56" customWidth="1"/>
    <col min="7" max="7" width="7.7109375" style="56" customWidth="1"/>
    <col min="8" max="8" width="1.1484375" style="56" customWidth="1"/>
    <col min="9" max="16384" width="12.57421875" style="56" customWidth="1"/>
  </cols>
  <sheetData>
    <row r="1" spans="1:5" ht="15.75">
      <c r="A1" s="149" t="s">
        <v>45</v>
      </c>
      <c r="B1" s="61" t="s">
        <v>172</v>
      </c>
      <c r="C1" s="163"/>
      <c r="D1" s="163"/>
      <c r="E1" s="163"/>
    </row>
    <row r="2" spans="1:3" ht="15.75">
      <c r="A2" s="280"/>
      <c r="B2" s="61" t="s">
        <v>173</v>
      </c>
      <c r="C2" s="280"/>
    </row>
    <row r="5" ht="13.5" thickBot="1"/>
    <row r="6" spans="1:6" ht="13.5" thickTop="1">
      <c r="A6" s="158"/>
      <c r="B6" s="80"/>
      <c r="C6" s="80"/>
      <c r="D6" s="80"/>
      <c r="E6" s="80"/>
      <c r="F6" s="81"/>
    </row>
    <row r="7" spans="1:6" ht="12.75">
      <c r="A7" s="159"/>
      <c r="B7" s="65"/>
      <c r="C7" s="66"/>
      <c r="D7" s="68" t="s">
        <v>125</v>
      </c>
      <c r="E7" s="69"/>
      <c r="F7" s="92"/>
    </row>
    <row r="8" spans="1:6" ht="15.75">
      <c r="A8" s="159"/>
      <c r="B8" s="423" t="s">
        <v>1</v>
      </c>
      <c r="C8" s="424"/>
      <c r="D8" s="425" t="s">
        <v>0</v>
      </c>
      <c r="E8" s="426"/>
      <c r="F8" s="92"/>
    </row>
    <row r="9" spans="1:6" ht="15.75">
      <c r="A9" s="159"/>
      <c r="B9" s="427" t="s">
        <v>3</v>
      </c>
      <c r="C9" s="428"/>
      <c r="D9" s="429" t="s">
        <v>149</v>
      </c>
      <c r="E9" s="429" t="s">
        <v>32</v>
      </c>
      <c r="F9" s="92"/>
    </row>
    <row r="10" spans="1:6" ht="15">
      <c r="A10" s="159"/>
      <c r="B10" s="430"/>
      <c r="C10" s="431"/>
      <c r="D10" s="430"/>
      <c r="E10" s="430"/>
      <c r="F10" s="92"/>
    </row>
    <row r="11" spans="1:6" ht="15">
      <c r="A11" s="159"/>
      <c r="B11" s="432" t="s">
        <v>46</v>
      </c>
      <c r="C11" s="433"/>
      <c r="D11" s="434">
        <v>31000</v>
      </c>
      <c r="E11" s="434">
        <f aca="true" t="shared" si="0" ref="E11:E21">ROUND(+D11/D$23,5)*100</f>
        <v>0.13699999999999998</v>
      </c>
      <c r="F11" s="92"/>
    </row>
    <row r="12" spans="1:6" ht="15">
      <c r="A12" s="159"/>
      <c r="B12" s="432" t="s">
        <v>47</v>
      </c>
      <c r="C12" s="435"/>
      <c r="D12" s="436">
        <v>8414465.8</v>
      </c>
      <c r="E12" s="434">
        <f t="shared" si="0"/>
        <v>37.314</v>
      </c>
      <c r="F12" s="92"/>
    </row>
    <row r="13" spans="1:6" ht="15">
      <c r="A13" s="159"/>
      <c r="B13" s="432" t="s">
        <v>48</v>
      </c>
      <c r="C13" s="435"/>
      <c r="D13" s="436">
        <v>1961742</v>
      </c>
      <c r="E13" s="434">
        <f t="shared" si="0"/>
        <v>8.699</v>
      </c>
      <c r="F13" s="92"/>
    </row>
    <row r="14" spans="1:6" ht="15">
      <c r="A14" s="159"/>
      <c r="B14" s="432" t="s">
        <v>49</v>
      </c>
      <c r="C14" s="435"/>
      <c r="D14" s="436">
        <v>2431598</v>
      </c>
      <c r="E14" s="434">
        <f t="shared" si="0"/>
        <v>10.783</v>
      </c>
      <c r="F14" s="92"/>
    </row>
    <row r="15" spans="1:6" ht="15">
      <c r="A15" s="159"/>
      <c r="B15" s="432" t="s">
        <v>50</v>
      </c>
      <c r="C15" s="435"/>
      <c r="D15" s="436">
        <v>898423</v>
      </c>
      <c r="E15" s="434">
        <f t="shared" si="0"/>
        <v>3.984</v>
      </c>
      <c r="F15" s="92"/>
    </row>
    <row r="16" spans="1:6" ht="15">
      <c r="A16" s="159"/>
      <c r="B16" s="432" t="s">
        <v>51</v>
      </c>
      <c r="C16" s="435"/>
      <c r="D16" s="436">
        <v>195794</v>
      </c>
      <c r="E16" s="434">
        <f t="shared" si="0"/>
        <v>0.868</v>
      </c>
      <c r="F16" s="92"/>
    </row>
    <row r="17" spans="1:6" ht="15">
      <c r="A17" s="159"/>
      <c r="B17" s="432" t="s">
        <v>52</v>
      </c>
      <c r="C17" s="435"/>
      <c r="D17" s="436">
        <v>6557192.5</v>
      </c>
      <c r="E17" s="434">
        <f t="shared" si="0"/>
        <v>29.078</v>
      </c>
      <c r="F17" s="92"/>
    </row>
    <row r="18" spans="1:6" ht="15">
      <c r="A18" s="159"/>
      <c r="B18" s="432" t="s">
        <v>53</v>
      </c>
      <c r="C18" s="435"/>
      <c r="D18" s="436">
        <v>536982.4</v>
      </c>
      <c r="E18" s="434">
        <f t="shared" si="0"/>
        <v>2.3810000000000002</v>
      </c>
      <c r="F18" s="92"/>
    </row>
    <row r="19" spans="1:6" ht="15">
      <c r="A19" s="159"/>
      <c r="B19" s="432" t="s">
        <v>41</v>
      </c>
      <c r="C19" s="435"/>
      <c r="D19" s="436">
        <v>619470</v>
      </c>
      <c r="E19" s="434">
        <f t="shared" si="0"/>
        <v>2.7470000000000003</v>
      </c>
      <c r="F19" s="92"/>
    </row>
    <row r="20" spans="1:6" ht="15">
      <c r="A20" s="159"/>
      <c r="B20" s="432" t="s">
        <v>10</v>
      </c>
      <c r="C20" s="435"/>
      <c r="D20" s="436">
        <v>8052.3</v>
      </c>
      <c r="E20" s="434">
        <f t="shared" si="0"/>
        <v>0.036000000000000004</v>
      </c>
      <c r="F20" s="92"/>
    </row>
    <row r="21" spans="1:6" ht="15">
      <c r="A21" s="159"/>
      <c r="B21" s="448" t="s">
        <v>36</v>
      </c>
      <c r="C21" s="448"/>
      <c r="D21" s="448">
        <v>895554</v>
      </c>
      <c r="E21" s="449">
        <f t="shared" si="0"/>
        <v>3.971</v>
      </c>
      <c r="F21" s="92"/>
    </row>
    <row r="22" spans="1:6" ht="15">
      <c r="A22" s="159"/>
      <c r="B22" s="430"/>
      <c r="C22" s="430"/>
      <c r="D22" s="430"/>
      <c r="E22" s="437"/>
      <c r="F22" s="92"/>
    </row>
    <row r="23" spans="1:6" ht="15">
      <c r="A23" s="159"/>
      <c r="B23" s="438" t="s">
        <v>43</v>
      </c>
      <c r="C23" s="439"/>
      <c r="D23" s="440">
        <f>SUM(D11:D21)</f>
        <v>22550274</v>
      </c>
      <c r="E23" s="440">
        <f>SUM(E11:E21)</f>
        <v>99.998</v>
      </c>
      <c r="F23" s="92"/>
    </row>
    <row r="24" spans="1:6" ht="13.5" thickBot="1">
      <c r="A24" s="160"/>
      <c r="B24" s="94"/>
      <c r="C24" s="95"/>
      <c r="D24" s="164"/>
      <c r="E24" s="164"/>
      <c r="F24" s="161"/>
    </row>
    <row r="25" spans="2:5" ht="13.5" thickTop="1">
      <c r="B25" s="57"/>
      <c r="C25" s="57"/>
      <c r="D25" s="57"/>
      <c r="E25" s="57"/>
    </row>
    <row r="27" spans="1:2" ht="12.75">
      <c r="A27" s="443">
        <v>-1</v>
      </c>
      <c r="B27" s="442" t="s">
        <v>128</v>
      </c>
    </row>
    <row r="28" ht="12.75">
      <c r="B28" s="57"/>
    </row>
    <row r="29" spans="1:2" ht="12.75">
      <c r="A29" s="441" t="s">
        <v>54</v>
      </c>
      <c r="B29" s="442" t="s">
        <v>55</v>
      </c>
    </row>
    <row r="30" ht="12.75">
      <c r="B30" s="59"/>
    </row>
    <row r="106" ht="12.75">
      <c r="B106" s="58"/>
    </row>
    <row r="109" ht="12.75">
      <c r="B109" s="58"/>
    </row>
  </sheetData>
  <printOptions horizontalCentered="1"/>
  <pageMargins left="0.83" right="0.25" top="0.7874015748031497" bottom="0.7874015748031497" header="0.51" footer="0.5118110236220472"/>
  <pageSetup horizontalDpi="600" verticalDpi="600" orientation="portrait" paperSize="9" scale="95" r:id="rId1"/>
  <headerFooter alignWithMargins="0">
    <oddFooter>&amp;C&amp;9 3.7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E49" sqref="E49"/>
    </sheetView>
  </sheetViews>
  <sheetFormatPr defaultColWidth="12.57421875" defaultRowHeight="12.75"/>
  <cols>
    <col min="1" max="1" width="4.7109375" style="165" customWidth="1"/>
    <col min="2" max="2" width="25.7109375" style="165" customWidth="1"/>
    <col min="3" max="4" width="14.7109375" style="165" customWidth="1"/>
    <col min="5" max="6" width="15.7109375" style="165" customWidth="1"/>
    <col min="7" max="7" width="3.57421875" style="165" customWidth="1"/>
    <col min="8" max="16384" width="12.57421875" style="165" customWidth="1"/>
  </cols>
  <sheetData>
    <row r="1" spans="1:2" ht="15.75">
      <c r="A1" s="168" t="s">
        <v>56</v>
      </c>
      <c r="B1" s="169" t="s">
        <v>111</v>
      </c>
    </row>
    <row r="2" spans="1:2" ht="15.75">
      <c r="A2" s="170"/>
      <c r="B2" s="169" t="s">
        <v>109</v>
      </c>
    </row>
    <row r="3" ht="12.75">
      <c r="B3" s="166"/>
    </row>
    <row r="4" ht="12.75">
      <c r="B4" s="166"/>
    </row>
    <row r="6" ht="13.5" thickBot="1"/>
    <row r="7" spans="2:7" ht="18.75" thickTop="1">
      <c r="B7" s="331" t="s">
        <v>57</v>
      </c>
      <c r="C7" s="197" t="s">
        <v>37</v>
      </c>
      <c r="D7" s="198"/>
      <c r="E7" s="198"/>
      <c r="F7" s="199"/>
      <c r="G7" s="166"/>
    </row>
    <row r="8" spans="2:7" ht="12.75">
      <c r="B8" s="180"/>
      <c r="C8" s="172"/>
      <c r="D8" s="175"/>
      <c r="E8" s="171" t="s">
        <v>58</v>
      </c>
      <c r="F8" s="181"/>
      <c r="G8" s="166"/>
    </row>
    <row r="9" spans="2:7" ht="12.75">
      <c r="B9" s="182" t="s">
        <v>18</v>
      </c>
      <c r="C9" s="52" t="s">
        <v>112</v>
      </c>
      <c r="D9" s="176" t="s">
        <v>113</v>
      </c>
      <c r="E9" s="53" t="s">
        <v>112</v>
      </c>
      <c r="F9" s="183" t="s">
        <v>113</v>
      </c>
      <c r="G9" s="166"/>
    </row>
    <row r="10" spans="2:7" ht="12.75">
      <c r="B10" s="184"/>
      <c r="C10" s="54" t="s">
        <v>59</v>
      </c>
      <c r="D10" s="177" t="s">
        <v>110</v>
      </c>
      <c r="E10" s="53" t="s">
        <v>59</v>
      </c>
      <c r="F10" s="185" t="s">
        <v>110</v>
      </c>
      <c r="G10" s="166"/>
    </row>
    <row r="11" spans="2:7" ht="12.75">
      <c r="B11" s="313" t="s">
        <v>152</v>
      </c>
      <c r="C11" s="52"/>
      <c r="E11" s="401">
        <v>3428648796</v>
      </c>
      <c r="F11" s="400">
        <v>2935610043</v>
      </c>
      <c r="G11" s="166"/>
    </row>
    <row r="12" spans="2:7" ht="12.75">
      <c r="B12" s="186" t="s">
        <v>20</v>
      </c>
      <c r="C12" s="173">
        <v>0</v>
      </c>
      <c r="D12" s="178">
        <v>92566602</v>
      </c>
      <c r="E12" s="167">
        <f>+E11+C12</f>
        <v>3428648796</v>
      </c>
      <c r="F12" s="187">
        <f>+F11+D12</f>
        <v>3028176645</v>
      </c>
      <c r="G12" s="166"/>
    </row>
    <row r="13" spans="2:7" ht="12.75">
      <c r="B13" s="186" t="s">
        <v>21</v>
      </c>
      <c r="C13" s="174">
        <v>0</v>
      </c>
      <c r="D13" s="178">
        <v>97229358</v>
      </c>
      <c r="E13" s="167">
        <f aca="true" t="shared" si="0" ref="E13:E23">+E12+C13</f>
        <v>3428648796</v>
      </c>
      <c r="F13" s="187">
        <f aca="true" t="shared" si="1" ref="F13:F23">+F12+D13</f>
        <v>3125406003</v>
      </c>
      <c r="G13" s="166"/>
    </row>
    <row r="14" spans="2:9" ht="12.75">
      <c r="B14" s="186" t="s">
        <v>22</v>
      </c>
      <c r="C14" s="174">
        <v>6187277</v>
      </c>
      <c r="D14" s="178">
        <v>45403811</v>
      </c>
      <c r="E14" s="167">
        <f t="shared" si="0"/>
        <v>3434836073</v>
      </c>
      <c r="F14" s="187">
        <f t="shared" si="1"/>
        <v>3170809814</v>
      </c>
      <c r="G14" s="166"/>
      <c r="I14" s="329"/>
    </row>
    <row r="15" spans="2:9" ht="12.75">
      <c r="B15" s="186" t="s">
        <v>23</v>
      </c>
      <c r="C15" s="174">
        <v>96888939</v>
      </c>
      <c r="D15" s="178">
        <v>0</v>
      </c>
      <c r="E15" s="167">
        <f t="shared" si="0"/>
        <v>3531725012</v>
      </c>
      <c r="F15" s="187">
        <f t="shared" si="1"/>
        <v>3170809814</v>
      </c>
      <c r="G15" s="166"/>
      <c r="I15" s="329"/>
    </row>
    <row r="16" spans="2:9" ht="12.75">
      <c r="B16" s="186" t="s">
        <v>24</v>
      </c>
      <c r="C16" s="174">
        <v>103350832</v>
      </c>
      <c r="D16" s="178">
        <v>0</v>
      </c>
      <c r="E16" s="167">
        <f t="shared" si="0"/>
        <v>3635075844</v>
      </c>
      <c r="F16" s="187">
        <f t="shared" si="1"/>
        <v>3170809814</v>
      </c>
      <c r="G16" s="166"/>
      <c r="I16" s="329"/>
    </row>
    <row r="17" spans="2:7" ht="12.75">
      <c r="B17" s="186" t="s">
        <v>25</v>
      </c>
      <c r="C17" s="174">
        <v>68874289</v>
      </c>
      <c r="D17" s="178">
        <v>0</v>
      </c>
      <c r="E17" s="167">
        <f t="shared" si="0"/>
        <v>3703950133</v>
      </c>
      <c r="F17" s="187">
        <f t="shared" si="1"/>
        <v>3170809814</v>
      </c>
      <c r="G17" s="166"/>
    </row>
    <row r="18" spans="2:7" ht="12.75">
      <c r="B18" s="186" t="s">
        <v>26</v>
      </c>
      <c r="C18" s="174">
        <v>17316877</v>
      </c>
      <c r="D18" s="178">
        <v>0</v>
      </c>
      <c r="E18" s="167">
        <f t="shared" si="0"/>
        <v>3721267010</v>
      </c>
      <c r="F18" s="187">
        <f t="shared" si="1"/>
        <v>3170809814</v>
      </c>
      <c r="G18" s="166"/>
    </row>
    <row r="19" spans="2:7" ht="12.75">
      <c r="B19" s="186" t="s">
        <v>27</v>
      </c>
      <c r="C19" s="174">
        <v>36299051</v>
      </c>
      <c r="D19" s="178">
        <v>0</v>
      </c>
      <c r="E19" s="167">
        <f t="shared" si="0"/>
        <v>3757566061</v>
      </c>
      <c r="F19" s="187">
        <f t="shared" si="1"/>
        <v>3170809814</v>
      </c>
      <c r="G19" s="166"/>
    </row>
    <row r="20" spans="2:7" ht="12.75">
      <c r="B20" s="186" t="s">
        <v>28</v>
      </c>
      <c r="C20" s="174">
        <v>21539691</v>
      </c>
      <c r="D20" s="178">
        <v>0</v>
      </c>
      <c r="E20" s="167">
        <f t="shared" si="0"/>
        <v>3779105752</v>
      </c>
      <c r="F20" s="187">
        <f t="shared" si="1"/>
        <v>3170809814</v>
      </c>
      <c r="G20" s="166"/>
    </row>
    <row r="21" spans="2:7" ht="12.75">
      <c r="B21" s="186" t="s">
        <v>29</v>
      </c>
      <c r="C21" s="174">
        <v>0</v>
      </c>
      <c r="D21" s="178">
        <v>0</v>
      </c>
      <c r="E21" s="167">
        <f t="shared" si="0"/>
        <v>3779105752</v>
      </c>
      <c r="F21" s="187">
        <f t="shared" si="1"/>
        <v>3170809814</v>
      </c>
      <c r="G21" s="166"/>
    </row>
    <row r="22" spans="2:10" ht="12.75">
      <c r="B22" s="186" t="s">
        <v>30</v>
      </c>
      <c r="C22" s="444">
        <v>0</v>
      </c>
      <c r="D22" s="445">
        <v>13770670</v>
      </c>
      <c r="E22" s="167">
        <f t="shared" si="0"/>
        <v>3779105752</v>
      </c>
      <c r="F22" s="187">
        <f t="shared" si="1"/>
        <v>3184580484</v>
      </c>
      <c r="G22" s="166"/>
      <c r="I22" s="194"/>
      <c r="J22" s="166"/>
    </row>
    <row r="23" spans="2:7" ht="12.75">
      <c r="B23" s="186" t="s">
        <v>31</v>
      </c>
      <c r="C23" s="444">
        <v>0</v>
      </c>
      <c r="D23" s="445">
        <v>46012080</v>
      </c>
      <c r="E23" s="167">
        <f t="shared" si="0"/>
        <v>3779105752</v>
      </c>
      <c r="F23" s="187">
        <f t="shared" si="1"/>
        <v>3230592564</v>
      </c>
      <c r="G23" s="166"/>
    </row>
    <row r="24" spans="2:7" ht="12.75">
      <c r="B24" s="186"/>
      <c r="C24" s="174"/>
      <c r="D24" s="178"/>
      <c r="E24" s="167"/>
      <c r="F24" s="188"/>
      <c r="G24" s="166"/>
    </row>
    <row r="25" spans="2:7" ht="12.75">
      <c r="B25" s="193" t="s">
        <v>14</v>
      </c>
      <c r="C25" s="194">
        <f>SUM(C12:C24)</f>
        <v>350456956</v>
      </c>
      <c r="D25" s="194">
        <f>SUM(D12:D24)</f>
        <v>294982521</v>
      </c>
      <c r="E25" s="166"/>
      <c r="F25" s="189"/>
      <c r="G25" s="166"/>
    </row>
    <row r="26" spans="2:6" ht="13.5" thickBot="1">
      <c r="B26" s="190"/>
      <c r="C26" s="191"/>
      <c r="D26" s="191"/>
      <c r="E26" s="191"/>
      <c r="F26" s="192"/>
    </row>
    <row r="27" spans="1:2" ht="13.5" thickTop="1">
      <c r="A27" s="166"/>
      <c r="B27" s="166"/>
    </row>
    <row r="28" spans="1:2" ht="12.75">
      <c r="A28" s="166"/>
      <c r="B28" s="166"/>
    </row>
    <row r="30" ht="13.5" thickBot="1"/>
    <row r="31" spans="2:7" ht="18.75" thickTop="1">
      <c r="B31" s="332" t="s">
        <v>60</v>
      </c>
      <c r="C31" s="197" t="s">
        <v>37</v>
      </c>
      <c r="D31" s="198"/>
      <c r="E31" s="198"/>
      <c r="F31" s="199"/>
      <c r="G31" s="166"/>
    </row>
    <row r="32" spans="2:7" ht="12.75">
      <c r="B32" s="180"/>
      <c r="C32" s="172"/>
      <c r="D32" s="175"/>
      <c r="E32" s="171" t="s">
        <v>58</v>
      </c>
      <c r="F32" s="181"/>
      <c r="G32" s="166"/>
    </row>
    <row r="33" spans="2:7" ht="12.75">
      <c r="B33" s="182" t="s">
        <v>18</v>
      </c>
      <c r="C33" s="52" t="s">
        <v>112</v>
      </c>
      <c r="D33" s="176" t="s">
        <v>113</v>
      </c>
      <c r="E33" s="53" t="s">
        <v>112</v>
      </c>
      <c r="F33" s="183" t="s">
        <v>113</v>
      </c>
      <c r="G33" s="166"/>
    </row>
    <row r="34" spans="2:7" ht="12.75">
      <c r="B34" s="184"/>
      <c r="C34" s="54" t="s">
        <v>59</v>
      </c>
      <c r="D34" s="177" t="s">
        <v>110</v>
      </c>
      <c r="E34" s="55" t="s">
        <v>59</v>
      </c>
      <c r="F34" s="185" t="s">
        <v>110</v>
      </c>
      <c r="G34" s="166"/>
    </row>
    <row r="35" spans="2:7" ht="12.75">
      <c r="B35" s="313" t="s">
        <v>152</v>
      </c>
      <c r="C35" s="52"/>
      <c r="D35" s="383"/>
      <c r="E35" s="384">
        <v>5330754375</v>
      </c>
      <c r="F35" s="382">
        <v>3701432605</v>
      </c>
      <c r="G35" s="166"/>
    </row>
    <row r="36" spans="2:7" ht="12.75">
      <c r="B36" s="186" t="s">
        <v>20</v>
      </c>
      <c r="C36" s="173">
        <v>0</v>
      </c>
      <c r="D36" s="167">
        <v>100662662</v>
      </c>
      <c r="E36" s="173">
        <f aca="true" t="shared" si="2" ref="E36:F47">+E35+C36</f>
        <v>5330754375</v>
      </c>
      <c r="F36" s="188">
        <f t="shared" si="2"/>
        <v>3802095267</v>
      </c>
      <c r="G36" s="166"/>
    </row>
    <row r="37" spans="2:7" ht="12.75">
      <c r="B37" s="186" t="s">
        <v>21</v>
      </c>
      <c r="C37" s="173">
        <v>0</v>
      </c>
      <c r="D37" s="167">
        <v>92720966</v>
      </c>
      <c r="E37" s="173">
        <f t="shared" si="2"/>
        <v>5330754375</v>
      </c>
      <c r="F37" s="188">
        <f t="shared" si="2"/>
        <v>3894816233</v>
      </c>
      <c r="G37" s="166"/>
    </row>
    <row r="38" spans="2:7" ht="12.75">
      <c r="B38" s="186" t="s">
        <v>22</v>
      </c>
      <c r="C38" s="173">
        <v>14703917</v>
      </c>
      <c r="D38" s="167">
        <v>58418875</v>
      </c>
      <c r="E38" s="173">
        <f t="shared" si="2"/>
        <v>5345458292</v>
      </c>
      <c r="F38" s="188">
        <f t="shared" si="2"/>
        <v>3953235108</v>
      </c>
      <c r="G38" s="166"/>
    </row>
    <row r="39" spans="2:7" ht="12.75">
      <c r="B39" s="186" t="s">
        <v>23</v>
      </c>
      <c r="C39" s="385">
        <v>123358635</v>
      </c>
      <c r="D39" s="179">
        <v>0</v>
      </c>
      <c r="E39" s="173">
        <f t="shared" si="2"/>
        <v>5468816927</v>
      </c>
      <c r="F39" s="188">
        <f t="shared" si="2"/>
        <v>3953235108</v>
      </c>
      <c r="G39" s="166"/>
    </row>
    <row r="40" spans="2:7" ht="12.75">
      <c r="B40" s="186" t="s">
        <v>24</v>
      </c>
      <c r="C40" s="173">
        <v>84693372</v>
      </c>
      <c r="D40" s="167">
        <v>0</v>
      </c>
      <c r="E40" s="173">
        <f t="shared" si="2"/>
        <v>5553510299</v>
      </c>
      <c r="F40" s="188">
        <f t="shared" si="2"/>
        <v>3953235108</v>
      </c>
      <c r="G40" s="166"/>
    </row>
    <row r="41" spans="2:7" ht="12.75">
      <c r="B41" s="186" t="s">
        <v>25</v>
      </c>
      <c r="C41" s="173">
        <v>80689823</v>
      </c>
      <c r="D41" s="167">
        <v>0</v>
      </c>
      <c r="E41" s="173">
        <v>5634200122</v>
      </c>
      <c r="F41" s="188">
        <f t="shared" si="2"/>
        <v>3953235108</v>
      </c>
      <c r="G41" s="166"/>
    </row>
    <row r="42" spans="2:7" ht="12.75">
      <c r="B42" s="186" t="s">
        <v>26</v>
      </c>
      <c r="C42" s="173">
        <v>82204077</v>
      </c>
      <c r="D42" s="167">
        <v>0</v>
      </c>
      <c r="E42" s="173">
        <f t="shared" si="2"/>
        <v>5716404199</v>
      </c>
      <c r="F42" s="188">
        <f t="shared" si="2"/>
        <v>3953235108</v>
      </c>
      <c r="G42" s="166"/>
    </row>
    <row r="43" spans="2:7" ht="12.75">
      <c r="B43" s="186" t="s">
        <v>27</v>
      </c>
      <c r="C43" s="173">
        <v>106558510</v>
      </c>
      <c r="D43" s="167">
        <v>0</v>
      </c>
      <c r="E43" s="173">
        <f t="shared" si="2"/>
        <v>5822962709</v>
      </c>
      <c r="F43" s="188">
        <f t="shared" si="2"/>
        <v>3953235108</v>
      </c>
      <c r="G43" s="166"/>
    </row>
    <row r="44" spans="2:7" ht="12.75">
      <c r="B44" s="186" t="s">
        <v>28</v>
      </c>
      <c r="C44" s="173">
        <v>0</v>
      </c>
      <c r="D44" s="167">
        <v>0</v>
      </c>
      <c r="E44" s="173">
        <f t="shared" si="2"/>
        <v>5822962709</v>
      </c>
      <c r="F44" s="188">
        <f t="shared" si="2"/>
        <v>3953235108</v>
      </c>
      <c r="G44" s="166"/>
    </row>
    <row r="45" spans="2:7" ht="12.75">
      <c r="B45" s="186" t="s">
        <v>29</v>
      </c>
      <c r="C45" s="173">
        <v>0</v>
      </c>
      <c r="D45" s="167">
        <v>0</v>
      </c>
      <c r="E45" s="173">
        <f t="shared" si="2"/>
        <v>5822962709</v>
      </c>
      <c r="F45" s="188">
        <f t="shared" si="2"/>
        <v>3953235108</v>
      </c>
      <c r="G45" s="166"/>
    </row>
    <row r="46" spans="2:7" ht="12.75">
      <c r="B46" s="186" t="s">
        <v>30</v>
      </c>
      <c r="C46" s="173">
        <v>0</v>
      </c>
      <c r="D46" s="167">
        <v>21548702</v>
      </c>
      <c r="E46" s="173">
        <f t="shared" si="2"/>
        <v>5822962709</v>
      </c>
      <c r="F46" s="188">
        <f t="shared" si="2"/>
        <v>3974783810</v>
      </c>
      <c r="G46" s="166"/>
    </row>
    <row r="47" spans="2:7" ht="12.75">
      <c r="B47" s="186" t="s">
        <v>31</v>
      </c>
      <c r="C47" s="446">
        <v>0</v>
      </c>
      <c r="D47" s="3">
        <v>87735536</v>
      </c>
      <c r="E47" s="173">
        <f t="shared" si="2"/>
        <v>5822962709</v>
      </c>
      <c r="F47" s="188">
        <f t="shared" si="2"/>
        <v>4062519346</v>
      </c>
      <c r="G47" s="166"/>
    </row>
    <row r="48" spans="2:7" ht="12.75">
      <c r="B48" s="186"/>
      <c r="C48" s="173"/>
      <c r="D48" s="167"/>
      <c r="E48" s="179"/>
      <c r="F48" s="188"/>
      <c r="G48" s="166"/>
    </row>
    <row r="49" spans="2:7" ht="12.75">
      <c r="B49" s="193" t="s">
        <v>14</v>
      </c>
      <c r="C49" s="194">
        <f>SUM(C36:C48)</f>
        <v>492208334</v>
      </c>
      <c r="D49" s="196">
        <f>SUM(D36:D48)</f>
        <v>361086741</v>
      </c>
      <c r="E49" s="195"/>
      <c r="F49" s="189"/>
      <c r="G49" s="166"/>
    </row>
    <row r="50" spans="2:6" ht="13.5" thickBot="1">
      <c r="B50" s="190"/>
      <c r="C50" s="191"/>
      <c r="D50" s="191"/>
      <c r="E50" s="191"/>
      <c r="F50" s="192"/>
    </row>
    <row r="51" ht="13.5" thickTop="1"/>
  </sheetData>
  <printOptions horizontalCentered="1"/>
  <pageMargins left="0.71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&amp;C&amp;9 3.8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12.57421875" defaultRowHeight="12.75"/>
  <cols>
    <col min="1" max="1" width="7.7109375" style="207" customWidth="1"/>
    <col min="2" max="2" width="1.7109375" style="45" customWidth="1"/>
    <col min="3" max="3" width="7.7109375" style="45" customWidth="1"/>
    <col min="4" max="4" width="10.7109375" style="45" customWidth="1"/>
    <col min="5" max="5" width="14.7109375" style="45" customWidth="1"/>
    <col min="6" max="6" width="10.7109375" style="45" customWidth="1"/>
    <col min="7" max="7" width="9.7109375" style="45" customWidth="1"/>
    <col min="8" max="8" width="12.7109375" style="45" customWidth="1"/>
    <col min="9" max="9" width="9.7109375" style="45" customWidth="1"/>
    <col min="10" max="10" width="15.7109375" style="45" customWidth="1"/>
    <col min="11" max="11" width="10.7109375" style="45" customWidth="1"/>
    <col min="12" max="12" width="11.7109375" style="45" customWidth="1"/>
    <col min="13" max="13" width="12.7109375" style="45" customWidth="1"/>
    <col min="14" max="14" width="15.7109375" style="45" customWidth="1"/>
    <col min="15" max="15" width="1.7109375" style="45" customWidth="1"/>
    <col min="16" max="16" width="7.7109375" style="45" customWidth="1"/>
    <col min="17" max="17" width="3.57421875" style="45" customWidth="1"/>
    <col min="18" max="16384" width="12.57421875" style="45" customWidth="1"/>
  </cols>
  <sheetData>
    <row r="1" spans="1:3" ht="15.75">
      <c r="A1" s="208" t="s">
        <v>61</v>
      </c>
      <c r="B1" s="46" t="s">
        <v>129</v>
      </c>
      <c r="C1" s="209"/>
    </row>
    <row r="2" ht="13.5" thickBot="1"/>
    <row r="3" spans="1:17" ht="13.5" thickTop="1">
      <c r="A3" s="213"/>
      <c r="B3" s="43"/>
      <c r="C3" s="214" t="s">
        <v>154</v>
      </c>
      <c r="D3" s="215"/>
      <c r="E3" s="215"/>
      <c r="F3" s="216"/>
      <c r="G3" s="215"/>
      <c r="H3" s="215"/>
      <c r="I3" s="215"/>
      <c r="J3" s="215"/>
      <c r="K3" s="215"/>
      <c r="L3" s="215"/>
      <c r="M3" s="215"/>
      <c r="N3" s="215"/>
      <c r="O3" s="215"/>
      <c r="P3" s="217"/>
      <c r="Q3" s="2"/>
    </row>
    <row r="4" spans="1:17" ht="12.75">
      <c r="A4" s="218"/>
      <c r="B4" s="200"/>
      <c r="C4" s="200"/>
      <c r="D4" s="200"/>
      <c r="E4" s="200"/>
      <c r="F4" s="200"/>
      <c r="G4" s="200"/>
      <c r="H4" s="200"/>
      <c r="I4" s="200"/>
      <c r="J4" s="201" t="s">
        <v>155</v>
      </c>
      <c r="K4" s="200"/>
      <c r="L4" s="200"/>
      <c r="M4" s="200"/>
      <c r="N4" s="201" t="s">
        <v>155</v>
      </c>
      <c r="O4" s="200"/>
      <c r="P4" s="219"/>
      <c r="Q4" s="2"/>
    </row>
    <row r="5" spans="1:17" ht="12.75">
      <c r="A5" s="220" t="s">
        <v>62</v>
      </c>
      <c r="B5" s="200"/>
      <c r="C5" s="200"/>
      <c r="D5" s="200"/>
      <c r="E5" s="200"/>
      <c r="F5" s="200"/>
      <c r="G5" s="200"/>
      <c r="H5" s="200"/>
      <c r="I5" s="200"/>
      <c r="J5" s="201" t="s">
        <v>8</v>
      </c>
      <c r="K5" s="201" t="s">
        <v>60</v>
      </c>
      <c r="L5" s="200"/>
      <c r="M5" s="200"/>
      <c r="N5" s="201" t="s">
        <v>12</v>
      </c>
      <c r="O5" s="200"/>
      <c r="P5" s="219"/>
      <c r="Q5" s="2"/>
    </row>
    <row r="6" spans="1:17" ht="12.75">
      <c r="A6" s="221" t="s">
        <v>63</v>
      </c>
      <c r="B6" s="200"/>
      <c r="C6" s="210" t="s">
        <v>5</v>
      </c>
      <c r="D6" s="210" t="s">
        <v>64</v>
      </c>
      <c r="E6" s="210" t="s">
        <v>13</v>
      </c>
      <c r="F6" s="210" t="s">
        <v>48</v>
      </c>
      <c r="G6" s="210" t="s">
        <v>49</v>
      </c>
      <c r="H6" s="210" t="s">
        <v>51</v>
      </c>
      <c r="I6" s="210" t="s">
        <v>65</v>
      </c>
      <c r="J6" s="210" t="s">
        <v>9</v>
      </c>
      <c r="K6" s="210" t="s">
        <v>66</v>
      </c>
      <c r="L6" s="210" t="s">
        <v>10</v>
      </c>
      <c r="M6" s="210" t="s">
        <v>11</v>
      </c>
      <c r="N6" s="210" t="s">
        <v>13</v>
      </c>
      <c r="O6" s="200"/>
      <c r="P6" s="222" t="s">
        <v>14</v>
      </c>
      <c r="Q6" s="2"/>
    </row>
    <row r="7" spans="1:17" ht="12.75">
      <c r="A7" s="223">
        <v>1963</v>
      </c>
      <c r="B7" s="111"/>
      <c r="C7" s="211" t="s">
        <v>15</v>
      </c>
      <c r="D7" s="211" t="s">
        <v>15</v>
      </c>
      <c r="E7" s="211" t="s">
        <v>15</v>
      </c>
      <c r="F7" s="211" t="s">
        <v>15</v>
      </c>
      <c r="G7" s="211" t="s">
        <v>15</v>
      </c>
      <c r="H7" s="211" t="s">
        <v>15</v>
      </c>
      <c r="I7" s="211" t="s">
        <v>15</v>
      </c>
      <c r="J7" s="211" t="s">
        <v>15</v>
      </c>
      <c r="K7" s="211" t="s">
        <v>15</v>
      </c>
      <c r="L7" s="211" t="s">
        <v>15</v>
      </c>
      <c r="M7" s="211" t="s">
        <v>15</v>
      </c>
      <c r="N7" s="211" t="s">
        <v>15</v>
      </c>
      <c r="O7" s="212"/>
      <c r="P7" s="224" t="s">
        <v>15</v>
      </c>
      <c r="Q7" s="2"/>
    </row>
    <row r="8" spans="1:17" ht="12.75">
      <c r="A8" s="223">
        <v>1964</v>
      </c>
      <c r="B8" s="111"/>
      <c r="C8" s="211" t="s">
        <v>15</v>
      </c>
      <c r="D8" s="211" t="s">
        <v>15</v>
      </c>
      <c r="E8" s="211" t="s">
        <v>15</v>
      </c>
      <c r="F8" s="211" t="s">
        <v>15</v>
      </c>
      <c r="G8" s="211" t="s">
        <v>15</v>
      </c>
      <c r="H8" s="211" t="s">
        <v>15</v>
      </c>
      <c r="I8" s="211" t="s">
        <v>15</v>
      </c>
      <c r="J8" s="211" t="s">
        <v>15</v>
      </c>
      <c r="K8" s="211" t="s">
        <v>15</v>
      </c>
      <c r="L8" s="211" t="s">
        <v>15</v>
      </c>
      <c r="M8" s="211" t="s">
        <v>15</v>
      </c>
      <c r="N8" s="211" t="s">
        <v>15</v>
      </c>
      <c r="O8" s="212"/>
      <c r="P8" s="224" t="s">
        <v>15</v>
      </c>
      <c r="Q8" s="2"/>
    </row>
    <row r="9" spans="1:17" ht="12.75">
      <c r="A9" s="223">
        <v>1965</v>
      </c>
      <c r="B9" s="111"/>
      <c r="C9" s="211" t="s">
        <v>15</v>
      </c>
      <c r="D9" s="211" t="s">
        <v>15</v>
      </c>
      <c r="E9" s="211" t="s">
        <v>15</v>
      </c>
      <c r="F9" s="211" t="s">
        <v>15</v>
      </c>
      <c r="G9" s="211" t="s">
        <v>15</v>
      </c>
      <c r="H9" s="211" t="s">
        <v>15</v>
      </c>
      <c r="I9" s="211" t="s">
        <v>15</v>
      </c>
      <c r="J9" s="211" t="s">
        <v>15</v>
      </c>
      <c r="K9" s="211" t="s">
        <v>15</v>
      </c>
      <c r="L9" s="211" t="s">
        <v>15</v>
      </c>
      <c r="M9" s="211" t="s">
        <v>15</v>
      </c>
      <c r="N9" s="211" t="s">
        <v>15</v>
      </c>
      <c r="O9" s="212"/>
      <c r="P9" s="224" t="s">
        <v>15</v>
      </c>
      <c r="Q9" s="2"/>
    </row>
    <row r="10" spans="1:17" ht="12.75">
      <c r="A10" s="223">
        <v>1966</v>
      </c>
      <c r="B10" s="112"/>
      <c r="C10" s="49">
        <v>4</v>
      </c>
      <c r="D10" s="211" t="s">
        <v>15</v>
      </c>
      <c r="E10" s="211" t="s">
        <v>15</v>
      </c>
      <c r="F10" s="211" t="s">
        <v>15</v>
      </c>
      <c r="G10" s="211" t="s">
        <v>15</v>
      </c>
      <c r="H10" s="211" t="s">
        <v>15</v>
      </c>
      <c r="I10" s="211" t="s">
        <v>15</v>
      </c>
      <c r="J10" s="211" t="s">
        <v>15</v>
      </c>
      <c r="K10" s="211" t="s">
        <v>15</v>
      </c>
      <c r="L10" s="211" t="s">
        <v>15</v>
      </c>
      <c r="M10" s="211" t="s">
        <v>15</v>
      </c>
      <c r="N10" s="211" t="s">
        <v>15</v>
      </c>
      <c r="O10" s="111"/>
      <c r="P10" s="50">
        <f aca="true" t="shared" si="0" ref="P10:P49">SUM(C10:O10)</f>
        <v>4</v>
      </c>
      <c r="Q10" s="2"/>
    </row>
    <row r="11" spans="1:17" ht="12.75">
      <c r="A11" s="223">
        <v>1967</v>
      </c>
      <c r="B11" s="112"/>
      <c r="C11" s="49">
        <v>110</v>
      </c>
      <c r="D11" s="211" t="s">
        <v>15</v>
      </c>
      <c r="E11" s="211" t="s">
        <v>15</v>
      </c>
      <c r="F11" s="211" t="s">
        <v>15</v>
      </c>
      <c r="G11" s="211" t="s">
        <v>15</v>
      </c>
      <c r="H11" s="211" t="s">
        <v>15</v>
      </c>
      <c r="I11" s="211" t="s">
        <v>15</v>
      </c>
      <c r="J11" s="211" t="s">
        <v>15</v>
      </c>
      <c r="K11" s="211" t="s">
        <v>15</v>
      </c>
      <c r="L11" s="211" t="s">
        <v>15</v>
      </c>
      <c r="M11" s="211" t="s">
        <v>15</v>
      </c>
      <c r="N11" s="211" t="s">
        <v>15</v>
      </c>
      <c r="O11" s="111"/>
      <c r="P11" s="50">
        <f t="shared" si="0"/>
        <v>110</v>
      </c>
      <c r="Q11" s="2"/>
    </row>
    <row r="12" spans="1:17" ht="12.75">
      <c r="A12" s="223">
        <v>1968</v>
      </c>
      <c r="B12" s="112"/>
      <c r="C12" s="49">
        <v>110</v>
      </c>
      <c r="D12" s="211" t="s">
        <v>15</v>
      </c>
      <c r="E12" s="211" t="s">
        <v>15</v>
      </c>
      <c r="F12" s="211" t="s">
        <v>15</v>
      </c>
      <c r="G12" s="211" t="s">
        <v>15</v>
      </c>
      <c r="H12" s="211" t="s">
        <v>15</v>
      </c>
      <c r="I12" s="211" t="s">
        <v>15</v>
      </c>
      <c r="J12" s="211" t="s">
        <v>15</v>
      </c>
      <c r="K12" s="211" t="s">
        <v>15</v>
      </c>
      <c r="L12" s="211" t="s">
        <v>15</v>
      </c>
      <c r="M12" s="211" t="s">
        <v>15</v>
      </c>
      <c r="N12" s="211" t="s">
        <v>15</v>
      </c>
      <c r="O12" s="111"/>
      <c r="P12" s="50">
        <f t="shared" si="0"/>
        <v>110</v>
      </c>
      <c r="Q12" s="2"/>
    </row>
    <row r="13" spans="1:17" ht="12.75">
      <c r="A13" s="223">
        <v>1969</v>
      </c>
      <c r="B13" s="112"/>
      <c r="C13" s="49">
        <v>193</v>
      </c>
      <c r="D13" s="211" t="s">
        <v>15</v>
      </c>
      <c r="E13" s="211" t="s">
        <v>15</v>
      </c>
      <c r="F13" s="211" t="s">
        <v>15</v>
      </c>
      <c r="G13" s="211" t="s">
        <v>15</v>
      </c>
      <c r="H13" s="211" t="s">
        <v>15</v>
      </c>
      <c r="I13" s="211" t="s">
        <v>15</v>
      </c>
      <c r="J13" s="211" t="s">
        <v>15</v>
      </c>
      <c r="K13" s="211" t="s">
        <v>15</v>
      </c>
      <c r="L13" s="211" t="s">
        <v>15</v>
      </c>
      <c r="M13" s="211" t="s">
        <v>15</v>
      </c>
      <c r="N13" s="211" t="s">
        <v>15</v>
      </c>
      <c r="O13" s="111"/>
      <c r="P13" s="50">
        <f t="shared" si="0"/>
        <v>193</v>
      </c>
      <c r="Q13" s="2"/>
    </row>
    <row r="14" spans="1:17" ht="12.75">
      <c r="A14" s="223">
        <v>1970</v>
      </c>
      <c r="B14" s="112"/>
      <c r="C14" s="49">
        <v>156</v>
      </c>
      <c r="D14" s="211" t="s">
        <v>15</v>
      </c>
      <c r="E14" s="211" t="s">
        <v>15</v>
      </c>
      <c r="F14" s="211" t="s">
        <v>15</v>
      </c>
      <c r="G14" s="211" t="s">
        <v>15</v>
      </c>
      <c r="H14" s="211" t="s">
        <v>15</v>
      </c>
      <c r="I14" s="211" t="s">
        <v>15</v>
      </c>
      <c r="J14" s="211" t="s">
        <v>15</v>
      </c>
      <c r="K14" s="211" t="s">
        <v>15</v>
      </c>
      <c r="L14" s="211" t="s">
        <v>15</v>
      </c>
      <c r="M14" s="211" t="s">
        <v>15</v>
      </c>
      <c r="N14" s="211" t="s">
        <v>15</v>
      </c>
      <c r="O14" s="111"/>
      <c r="P14" s="50">
        <f t="shared" si="0"/>
        <v>156</v>
      </c>
      <c r="Q14" s="2"/>
    </row>
    <row r="15" spans="1:17" ht="12.75">
      <c r="A15" s="223">
        <v>1971</v>
      </c>
      <c r="B15" s="112"/>
      <c r="C15" s="49">
        <v>126</v>
      </c>
      <c r="D15" s="211" t="s">
        <v>15</v>
      </c>
      <c r="E15" s="211" t="s">
        <v>15</v>
      </c>
      <c r="F15" s="211" t="s">
        <v>15</v>
      </c>
      <c r="G15" s="211" t="s">
        <v>15</v>
      </c>
      <c r="H15" s="211" t="s">
        <v>15</v>
      </c>
      <c r="I15" s="211" t="s">
        <v>15</v>
      </c>
      <c r="J15" s="211" t="s">
        <v>15</v>
      </c>
      <c r="K15" s="211" t="s">
        <v>15</v>
      </c>
      <c r="L15" s="211" t="s">
        <v>15</v>
      </c>
      <c r="M15" s="211" t="s">
        <v>15</v>
      </c>
      <c r="N15" s="211" t="s">
        <v>15</v>
      </c>
      <c r="O15" s="111"/>
      <c r="P15" s="50">
        <f t="shared" si="0"/>
        <v>126</v>
      </c>
      <c r="Q15" s="2"/>
    </row>
    <row r="16" spans="1:17" ht="12.75">
      <c r="A16" s="223">
        <v>1972</v>
      </c>
      <c r="B16" s="112"/>
      <c r="C16" s="49">
        <v>138</v>
      </c>
      <c r="D16" s="211" t="s">
        <v>15</v>
      </c>
      <c r="E16" s="211" t="s">
        <v>15</v>
      </c>
      <c r="F16" s="211" t="s">
        <v>15</v>
      </c>
      <c r="G16" s="211" t="s">
        <v>15</v>
      </c>
      <c r="H16" s="211" t="s">
        <v>15</v>
      </c>
      <c r="I16" s="211" t="s">
        <v>15</v>
      </c>
      <c r="J16" s="211" t="s">
        <v>15</v>
      </c>
      <c r="K16" s="211" t="s">
        <v>15</v>
      </c>
      <c r="L16" s="211" t="s">
        <v>15</v>
      </c>
      <c r="M16" s="211" t="s">
        <v>15</v>
      </c>
      <c r="N16" s="211" t="s">
        <v>15</v>
      </c>
      <c r="O16" s="111"/>
      <c r="P16" s="50">
        <f t="shared" si="0"/>
        <v>138</v>
      </c>
      <c r="Q16" s="2"/>
    </row>
    <row r="17" spans="1:17" ht="12.75">
      <c r="A17" s="223">
        <v>1973</v>
      </c>
      <c r="B17" s="112"/>
      <c r="C17" s="49">
        <v>111</v>
      </c>
      <c r="D17" s="49">
        <v>653</v>
      </c>
      <c r="E17" s="211" t="s">
        <v>15</v>
      </c>
      <c r="F17" s="211" t="s">
        <v>15</v>
      </c>
      <c r="G17" s="211" t="s">
        <v>15</v>
      </c>
      <c r="H17" s="211" t="s">
        <v>15</v>
      </c>
      <c r="I17" s="211" t="s">
        <v>15</v>
      </c>
      <c r="J17" s="211" t="s">
        <v>15</v>
      </c>
      <c r="K17" s="211" t="s">
        <v>15</v>
      </c>
      <c r="L17" s="211" t="s">
        <v>15</v>
      </c>
      <c r="M17" s="211" t="s">
        <v>15</v>
      </c>
      <c r="N17" s="211" t="s">
        <v>15</v>
      </c>
      <c r="O17" s="111"/>
      <c r="P17" s="50">
        <f t="shared" si="0"/>
        <v>764</v>
      </c>
      <c r="Q17" s="2"/>
    </row>
    <row r="18" spans="1:17" ht="12.75">
      <c r="A18" s="223">
        <v>1974</v>
      </c>
      <c r="B18" s="112"/>
      <c r="C18" s="49">
        <v>84</v>
      </c>
      <c r="D18" s="49">
        <v>1892</v>
      </c>
      <c r="E18" s="211" t="s">
        <v>15</v>
      </c>
      <c r="F18" s="211" t="s">
        <v>15</v>
      </c>
      <c r="G18" s="211" t="s">
        <v>15</v>
      </c>
      <c r="H18" s="211" t="s">
        <v>15</v>
      </c>
      <c r="I18" s="211" t="s">
        <v>15</v>
      </c>
      <c r="J18" s="211" t="s">
        <v>15</v>
      </c>
      <c r="K18" s="211" t="s">
        <v>15</v>
      </c>
      <c r="L18" s="211" t="s">
        <v>15</v>
      </c>
      <c r="M18" s="211" t="s">
        <v>15</v>
      </c>
      <c r="N18" s="211" t="s">
        <v>15</v>
      </c>
      <c r="O18" s="111"/>
      <c r="P18" s="50">
        <f t="shared" si="0"/>
        <v>1976</v>
      </c>
      <c r="Q18" s="2"/>
    </row>
    <row r="19" spans="1:17" ht="12.75">
      <c r="A19" s="223">
        <v>1975</v>
      </c>
      <c r="B19" s="112"/>
      <c r="C19" s="49">
        <v>66</v>
      </c>
      <c r="D19" s="49">
        <v>1961</v>
      </c>
      <c r="E19" s="211" t="s">
        <v>15</v>
      </c>
      <c r="F19" s="211" t="s">
        <v>15</v>
      </c>
      <c r="G19" s="211" t="s">
        <v>15</v>
      </c>
      <c r="H19" s="211" t="s">
        <v>15</v>
      </c>
      <c r="I19" s="211" t="s">
        <v>15</v>
      </c>
      <c r="J19" s="211" t="s">
        <v>15</v>
      </c>
      <c r="K19" s="211" t="s">
        <v>15</v>
      </c>
      <c r="L19" s="211" t="s">
        <v>15</v>
      </c>
      <c r="M19" s="211" t="s">
        <v>15</v>
      </c>
      <c r="N19" s="211" t="s">
        <v>15</v>
      </c>
      <c r="O19" s="111"/>
      <c r="P19" s="50">
        <f t="shared" si="0"/>
        <v>2027</v>
      </c>
      <c r="Q19" s="2"/>
    </row>
    <row r="20" spans="1:17" ht="12.75">
      <c r="A20" s="223">
        <v>1976</v>
      </c>
      <c r="B20" s="112"/>
      <c r="C20" s="49">
        <v>67</v>
      </c>
      <c r="D20" s="49">
        <v>1705</v>
      </c>
      <c r="E20" s="211" t="s">
        <v>15</v>
      </c>
      <c r="F20" s="211" t="s">
        <v>15</v>
      </c>
      <c r="G20" s="211" t="s">
        <v>15</v>
      </c>
      <c r="H20" s="211" t="s">
        <v>15</v>
      </c>
      <c r="I20" s="211" t="s">
        <v>15</v>
      </c>
      <c r="J20" s="211" t="s">
        <v>15</v>
      </c>
      <c r="K20" s="211" t="s">
        <v>15</v>
      </c>
      <c r="L20" s="211" t="s">
        <v>15</v>
      </c>
      <c r="M20" s="211" t="s">
        <v>15</v>
      </c>
      <c r="N20" s="211" t="s">
        <v>15</v>
      </c>
      <c r="O20" s="111"/>
      <c r="P20" s="50">
        <f t="shared" si="0"/>
        <v>1772</v>
      </c>
      <c r="Q20" s="2"/>
    </row>
    <row r="21" spans="1:17" ht="12.75">
      <c r="A21" s="223">
        <v>1977</v>
      </c>
      <c r="B21" s="112"/>
      <c r="C21" s="49">
        <v>65</v>
      </c>
      <c r="D21" s="49">
        <v>688</v>
      </c>
      <c r="E21" s="49">
        <v>109</v>
      </c>
      <c r="F21" s="49">
        <v>120</v>
      </c>
      <c r="G21" s="211" t="s">
        <v>15</v>
      </c>
      <c r="H21" s="211" t="s">
        <v>15</v>
      </c>
      <c r="I21" s="211" t="s">
        <v>15</v>
      </c>
      <c r="J21" s="211" t="s">
        <v>15</v>
      </c>
      <c r="K21" s="211" t="s">
        <v>15</v>
      </c>
      <c r="L21" s="211" t="s">
        <v>15</v>
      </c>
      <c r="M21" s="211" t="s">
        <v>15</v>
      </c>
      <c r="N21" s="211" t="s">
        <v>15</v>
      </c>
      <c r="O21" s="111"/>
      <c r="P21" s="50">
        <f t="shared" si="0"/>
        <v>982</v>
      </c>
      <c r="Q21" s="2"/>
    </row>
    <row r="22" spans="1:17" ht="12.75">
      <c r="A22" s="223">
        <v>1978</v>
      </c>
      <c r="B22" s="112"/>
      <c r="C22" s="49">
        <v>61</v>
      </c>
      <c r="D22" s="49">
        <v>383</v>
      </c>
      <c r="E22" s="49">
        <v>105</v>
      </c>
      <c r="F22" s="49">
        <v>267</v>
      </c>
      <c r="G22" s="49">
        <v>164</v>
      </c>
      <c r="H22" s="211" t="s">
        <v>15</v>
      </c>
      <c r="I22" s="211" t="s">
        <v>15</v>
      </c>
      <c r="J22" s="211" t="s">
        <v>15</v>
      </c>
      <c r="K22" s="211" t="s">
        <v>15</v>
      </c>
      <c r="L22" s="211" t="s">
        <v>15</v>
      </c>
      <c r="M22" s="211" t="s">
        <v>15</v>
      </c>
      <c r="N22" s="211" t="s">
        <v>15</v>
      </c>
      <c r="O22" s="111"/>
      <c r="P22" s="50">
        <f t="shared" si="0"/>
        <v>980</v>
      </c>
      <c r="Q22" s="2"/>
    </row>
    <row r="23" spans="1:17" ht="12.75">
      <c r="A23" s="223">
        <v>1979</v>
      </c>
      <c r="B23" s="112"/>
      <c r="C23" s="49">
        <v>74</v>
      </c>
      <c r="D23" s="49">
        <v>274</v>
      </c>
      <c r="E23" s="49">
        <v>11</v>
      </c>
      <c r="F23" s="49">
        <v>371</v>
      </c>
      <c r="G23" s="49">
        <v>429</v>
      </c>
      <c r="H23" s="211" t="s">
        <v>15</v>
      </c>
      <c r="I23" s="211" t="s">
        <v>15</v>
      </c>
      <c r="J23" s="211" t="s">
        <v>15</v>
      </c>
      <c r="K23" s="211" t="s">
        <v>15</v>
      </c>
      <c r="L23" s="211" t="s">
        <v>15</v>
      </c>
      <c r="M23" s="211" t="s">
        <v>15</v>
      </c>
      <c r="N23" s="211" t="s">
        <v>15</v>
      </c>
      <c r="O23" s="111"/>
      <c r="P23" s="50">
        <f t="shared" si="0"/>
        <v>1159</v>
      </c>
      <c r="Q23" s="2"/>
    </row>
    <row r="24" spans="1:17" ht="12.75">
      <c r="A24" s="223">
        <v>1980</v>
      </c>
      <c r="B24" s="112"/>
      <c r="C24" s="49">
        <v>61</v>
      </c>
      <c r="D24" s="49">
        <v>292</v>
      </c>
      <c r="E24" s="49">
        <v>672</v>
      </c>
      <c r="F24" s="49">
        <v>302</v>
      </c>
      <c r="G24" s="49">
        <v>267</v>
      </c>
      <c r="H24" s="211" t="s">
        <v>15</v>
      </c>
      <c r="I24" s="211" t="s">
        <v>15</v>
      </c>
      <c r="J24" s="211" t="s">
        <v>15</v>
      </c>
      <c r="K24" s="211" t="s">
        <v>15</v>
      </c>
      <c r="L24" s="211" t="s">
        <v>15</v>
      </c>
      <c r="M24" s="211" t="s">
        <v>15</v>
      </c>
      <c r="N24" s="211" t="s">
        <v>15</v>
      </c>
      <c r="O24" s="111"/>
      <c r="P24" s="50">
        <f t="shared" si="0"/>
        <v>1594</v>
      </c>
      <c r="Q24" s="2"/>
    </row>
    <row r="25" spans="1:17" ht="12.75">
      <c r="A25" s="223">
        <v>1981</v>
      </c>
      <c r="B25" s="112"/>
      <c r="C25" s="49">
        <v>68</v>
      </c>
      <c r="D25" s="49">
        <v>99</v>
      </c>
      <c r="E25" s="49">
        <v>670</v>
      </c>
      <c r="F25" s="49">
        <v>89</v>
      </c>
      <c r="G25" s="49">
        <v>300</v>
      </c>
      <c r="H25" s="211" t="s">
        <v>15</v>
      </c>
      <c r="I25" s="211" t="s">
        <v>15</v>
      </c>
      <c r="J25" s="211" t="s">
        <v>15</v>
      </c>
      <c r="K25" s="211" t="s">
        <v>15</v>
      </c>
      <c r="L25" s="211" t="s">
        <v>15</v>
      </c>
      <c r="M25" s="211" t="s">
        <v>15</v>
      </c>
      <c r="N25" s="211" t="s">
        <v>15</v>
      </c>
      <c r="O25" s="111"/>
      <c r="P25" s="50">
        <f t="shared" si="0"/>
        <v>1226</v>
      </c>
      <c r="Q25" s="2"/>
    </row>
    <row r="26" spans="1:17" ht="12.75">
      <c r="A26" s="223">
        <v>1982</v>
      </c>
      <c r="B26" s="112"/>
      <c r="C26" s="49">
        <v>76</v>
      </c>
      <c r="D26" s="49">
        <v>81</v>
      </c>
      <c r="E26" s="49">
        <v>902</v>
      </c>
      <c r="F26" s="49">
        <v>47</v>
      </c>
      <c r="G26" s="49">
        <v>424</v>
      </c>
      <c r="H26" s="211" t="s">
        <v>15</v>
      </c>
      <c r="I26" s="211" t="s">
        <v>15</v>
      </c>
      <c r="J26" s="211" t="s">
        <v>15</v>
      </c>
      <c r="K26" s="211" t="s">
        <v>15</v>
      </c>
      <c r="L26" s="211" t="s">
        <v>15</v>
      </c>
      <c r="M26" s="211" t="s">
        <v>15</v>
      </c>
      <c r="N26" s="211" t="s">
        <v>15</v>
      </c>
      <c r="O26" s="111"/>
      <c r="P26" s="50">
        <f t="shared" si="0"/>
        <v>1530</v>
      </c>
      <c r="Q26" s="2"/>
    </row>
    <row r="27" spans="1:17" ht="12.75">
      <c r="A27" s="223">
        <v>1983</v>
      </c>
      <c r="B27" s="112"/>
      <c r="C27" s="49">
        <v>79</v>
      </c>
      <c r="D27" s="49">
        <v>85</v>
      </c>
      <c r="E27" s="49">
        <v>2170</v>
      </c>
      <c r="F27" s="49">
        <v>277</v>
      </c>
      <c r="G27" s="49">
        <v>366</v>
      </c>
      <c r="H27" s="211" t="s">
        <v>15</v>
      </c>
      <c r="I27" s="211" t="s">
        <v>15</v>
      </c>
      <c r="J27" s="211" t="s">
        <v>15</v>
      </c>
      <c r="K27" s="211" t="s">
        <v>15</v>
      </c>
      <c r="L27" s="211" t="s">
        <v>15</v>
      </c>
      <c r="M27" s="211" t="s">
        <v>15</v>
      </c>
      <c r="N27" s="211" t="s">
        <v>15</v>
      </c>
      <c r="O27" s="111"/>
      <c r="P27" s="50">
        <f t="shared" si="0"/>
        <v>2977</v>
      </c>
      <c r="Q27" s="2"/>
    </row>
    <row r="28" spans="1:17" ht="12.75">
      <c r="A28" s="223">
        <v>1984</v>
      </c>
      <c r="B28" s="112"/>
      <c r="C28" s="49">
        <v>81</v>
      </c>
      <c r="D28" s="49">
        <v>44</v>
      </c>
      <c r="E28" s="49">
        <v>1623</v>
      </c>
      <c r="F28" s="49">
        <v>295</v>
      </c>
      <c r="G28" s="49">
        <v>202</v>
      </c>
      <c r="H28" s="49">
        <v>71</v>
      </c>
      <c r="I28" s="211" t="s">
        <v>15</v>
      </c>
      <c r="J28" s="211" t="s">
        <v>15</v>
      </c>
      <c r="K28" s="211" t="s">
        <v>15</v>
      </c>
      <c r="L28" s="211" t="s">
        <v>15</v>
      </c>
      <c r="M28" s="211" t="s">
        <v>15</v>
      </c>
      <c r="N28" s="211" t="s">
        <v>15</v>
      </c>
      <c r="O28" s="111"/>
      <c r="P28" s="50">
        <f t="shared" si="0"/>
        <v>2316</v>
      </c>
      <c r="Q28" s="2"/>
    </row>
    <row r="29" spans="1:17" ht="12.75">
      <c r="A29" s="223">
        <v>1985</v>
      </c>
      <c r="B29" s="112"/>
      <c r="C29" s="49">
        <v>86</v>
      </c>
      <c r="D29" s="49">
        <v>79</v>
      </c>
      <c r="E29" s="49">
        <v>1489</v>
      </c>
      <c r="F29" s="49">
        <v>172</v>
      </c>
      <c r="G29" s="49">
        <v>279</v>
      </c>
      <c r="H29" s="49">
        <v>72</v>
      </c>
      <c r="I29" s="49">
        <v>6</v>
      </c>
      <c r="J29" s="211" t="s">
        <v>15</v>
      </c>
      <c r="K29" s="211" t="s">
        <v>15</v>
      </c>
      <c r="L29" s="211" t="s">
        <v>15</v>
      </c>
      <c r="M29" s="211" t="s">
        <v>15</v>
      </c>
      <c r="N29" s="211" t="s">
        <v>15</v>
      </c>
      <c r="O29" s="111"/>
      <c r="P29" s="50">
        <f t="shared" si="0"/>
        <v>2183</v>
      </c>
      <c r="Q29" s="2"/>
    </row>
    <row r="30" spans="1:17" ht="12.75">
      <c r="A30" s="223">
        <v>1986</v>
      </c>
      <c r="B30" s="112"/>
      <c r="C30" s="49">
        <v>90</v>
      </c>
      <c r="D30" s="49">
        <v>80</v>
      </c>
      <c r="E30" s="49">
        <v>1596</v>
      </c>
      <c r="F30" s="49">
        <v>22</v>
      </c>
      <c r="G30" s="211" t="s">
        <v>15</v>
      </c>
      <c r="H30" s="49">
        <v>53</v>
      </c>
      <c r="I30" s="211" t="s">
        <v>15</v>
      </c>
      <c r="J30" s="211" t="s">
        <v>15</v>
      </c>
      <c r="K30" s="49">
        <v>17</v>
      </c>
      <c r="L30" s="211" t="s">
        <v>15</v>
      </c>
      <c r="M30" s="211" t="s">
        <v>15</v>
      </c>
      <c r="N30" s="211" t="s">
        <v>15</v>
      </c>
      <c r="O30" s="111"/>
      <c r="P30" s="50">
        <f t="shared" si="0"/>
        <v>1858</v>
      </c>
      <c r="Q30" s="2"/>
    </row>
    <row r="31" spans="1:17" ht="12.75">
      <c r="A31" s="223">
        <v>1987</v>
      </c>
      <c r="B31" s="112"/>
      <c r="C31" s="49">
        <v>66</v>
      </c>
      <c r="D31" s="49">
        <v>58</v>
      </c>
      <c r="E31" s="211" t="s">
        <v>15</v>
      </c>
      <c r="F31" s="211" t="s">
        <v>15</v>
      </c>
      <c r="G31" s="211" t="s">
        <v>15</v>
      </c>
      <c r="H31" s="211" t="s">
        <v>15</v>
      </c>
      <c r="I31" s="211" t="s">
        <v>15</v>
      </c>
      <c r="J31" s="49">
        <v>1463</v>
      </c>
      <c r="K31" s="49">
        <v>55</v>
      </c>
      <c r="L31" s="211" t="s">
        <v>15</v>
      </c>
      <c r="M31" s="211" t="s">
        <v>15</v>
      </c>
      <c r="N31" s="211" t="s">
        <v>15</v>
      </c>
      <c r="O31" s="111"/>
      <c r="P31" s="50">
        <f t="shared" si="0"/>
        <v>1642</v>
      </c>
      <c r="Q31" s="2"/>
    </row>
    <row r="32" spans="1:17" ht="12.75">
      <c r="A32" s="223">
        <v>1988</v>
      </c>
      <c r="B32" s="112"/>
      <c r="C32" s="49">
        <v>53</v>
      </c>
      <c r="D32" s="49">
        <v>40</v>
      </c>
      <c r="E32" s="211" t="s">
        <v>15</v>
      </c>
      <c r="F32" s="211" t="s">
        <v>15</v>
      </c>
      <c r="G32" s="211" t="s">
        <v>15</v>
      </c>
      <c r="H32" s="211" t="s">
        <v>15</v>
      </c>
      <c r="I32" s="211" t="s">
        <v>15</v>
      </c>
      <c r="J32" s="49">
        <v>1313</v>
      </c>
      <c r="K32" s="49">
        <v>77</v>
      </c>
      <c r="L32" s="211" t="s">
        <v>15</v>
      </c>
      <c r="M32" s="211" t="s">
        <v>15</v>
      </c>
      <c r="N32" s="211" t="s">
        <v>15</v>
      </c>
      <c r="O32" s="111"/>
      <c r="P32" s="50">
        <f t="shared" si="0"/>
        <v>1483</v>
      </c>
      <c r="Q32" s="2"/>
    </row>
    <row r="33" spans="1:17" ht="12.75">
      <c r="A33" s="223">
        <v>1989</v>
      </c>
      <c r="B33" s="112"/>
      <c r="C33" s="49">
        <v>37</v>
      </c>
      <c r="D33" s="211" t="s">
        <v>15</v>
      </c>
      <c r="E33" s="211" t="s">
        <v>15</v>
      </c>
      <c r="F33" s="211" t="s">
        <v>15</v>
      </c>
      <c r="G33" s="211" t="s">
        <v>15</v>
      </c>
      <c r="H33" s="211" t="s">
        <v>15</v>
      </c>
      <c r="I33" s="211" t="s">
        <v>15</v>
      </c>
      <c r="J33" s="49">
        <v>874</v>
      </c>
      <c r="K33" s="49">
        <v>126</v>
      </c>
      <c r="L33" s="211" t="s">
        <v>15</v>
      </c>
      <c r="M33" s="211" t="s">
        <v>15</v>
      </c>
      <c r="N33" s="211" t="s">
        <v>15</v>
      </c>
      <c r="O33" s="111"/>
      <c r="P33" s="50">
        <f t="shared" si="0"/>
        <v>1037</v>
      </c>
      <c r="Q33" s="2"/>
    </row>
    <row r="34" spans="1:17" ht="12.75">
      <c r="A34" s="223">
        <v>1990</v>
      </c>
      <c r="B34" s="112"/>
      <c r="C34" s="49">
        <v>29</v>
      </c>
      <c r="D34" s="211" t="s">
        <v>15</v>
      </c>
      <c r="E34" s="211" t="s">
        <v>15</v>
      </c>
      <c r="F34" s="211" t="s">
        <v>15</v>
      </c>
      <c r="G34" s="211" t="s">
        <v>15</v>
      </c>
      <c r="H34" s="211" t="s">
        <v>15</v>
      </c>
      <c r="I34" s="211" t="s">
        <v>15</v>
      </c>
      <c r="J34" s="49">
        <v>674</v>
      </c>
      <c r="K34" s="49">
        <v>93</v>
      </c>
      <c r="L34" s="211" t="s">
        <v>15</v>
      </c>
      <c r="M34" s="211" t="s">
        <v>15</v>
      </c>
      <c r="N34" s="211" t="s">
        <v>15</v>
      </c>
      <c r="O34" s="111"/>
      <c r="P34" s="50">
        <f t="shared" si="0"/>
        <v>796</v>
      </c>
      <c r="Q34" s="2"/>
    </row>
    <row r="35" spans="1:17" ht="12.75">
      <c r="A35" s="223">
        <v>1991</v>
      </c>
      <c r="B35" s="112"/>
      <c r="C35" s="49">
        <v>26</v>
      </c>
      <c r="D35" s="211" t="s">
        <v>15</v>
      </c>
      <c r="E35" s="211" t="s">
        <v>15</v>
      </c>
      <c r="F35" s="211" t="s">
        <v>15</v>
      </c>
      <c r="G35" s="211" t="s">
        <v>15</v>
      </c>
      <c r="H35" s="211" t="s">
        <v>15</v>
      </c>
      <c r="I35" s="211" t="s">
        <v>15</v>
      </c>
      <c r="J35" s="49">
        <v>963</v>
      </c>
      <c r="K35" s="49">
        <v>78</v>
      </c>
      <c r="L35" s="211" t="s">
        <v>15</v>
      </c>
      <c r="M35" s="211" t="s">
        <v>15</v>
      </c>
      <c r="N35" s="211" t="s">
        <v>15</v>
      </c>
      <c r="O35" s="111"/>
      <c r="P35" s="50">
        <f t="shared" si="0"/>
        <v>1067</v>
      </c>
      <c r="Q35" s="2"/>
    </row>
    <row r="36" spans="1:17" ht="12.75">
      <c r="A36" s="223">
        <v>1992</v>
      </c>
      <c r="B36" s="112"/>
      <c r="C36" s="49">
        <v>20</v>
      </c>
      <c r="D36" s="211" t="s">
        <v>15</v>
      </c>
      <c r="E36" s="211" t="s">
        <v>15</v>
      </c>
      <c r="F36" s="211" t="s">
        <v>15</v>
      </c>
      <c r="G36" s="211" t="s">
        <v>15</v>
      </c>
      <c r="H36" s="211" t="s">
        <v>15</v>
      </c>
      <c r="I36" s="211" t="s">
        <v>15</v>
      </c>
      <c r="J36" s="49">
        <v>993</v>
      </c>
      <c r="K36" s="49">
        <v>59</v>
      </c>
      <c r="L36" s="211" t="s">
        <v>15</v>
      </c>
      <c r="M36" s="211" t="s">
        <v>15</v>
      </c>
      <c r="N36" s="211" t="s">
        <v>15</v>
      </c>
      <c r="O36" s="111"/>
      <c r="P36" s="50">
        <f t="shared" si="0"/>
        <v>1072</v>
      </c>
      <c r="Q36" s="2"/>
    </row>
    <row r="37" spans="1:17" ht="12.75">
      <c r="A37" s="223">
        <v>1993</v>
      </c>
      <c r="B37" s="112"/>
      <c r="C37" s="49">
        <v>17</v>
      </c>
      <c r="D37" s="211" t="s">
        <v>15</v>
      </c>
      <c r="E37" s="211" t="s">
        <v>15</v>
      </c>
      <c r="F37" s="211" t="s">
        <v>15</v>
      </c>
      <c r="G37" s="211" t="s">
        <v>15</v>
      </c>
      <c r="H37" s="211" t="s">
        <v>15</v>
      </c>
      <c r="I37" s="211" t="s">
        <v>15</v>
      </c>
      <c r="J37" s="49">
        <v>833</v>
      </c>
      <c r="K37" s="49">
        <v>25</v>
      </c>
      <c r="L37" s="211" t="s">
        <v>15</v>
      </c>
      <c r="M37" s="211" t="s">
        <v>15</v>
      </c>
      <c r="N37" s="211" t="s">
        <v>15</v>
      </c>
      <c r="O37" s="111"/>
      <c r="P37" s="50">
        <f t="shared" si="0"/>
        <v>875</v>
      </c>
      <c r="Q37" s="2"/>
    </row>
    <row r="38" spans="1:17" ht="12.75">
      <c r="A38" s="223">
        <v>1994</v>
      </c>
      <c r="B38" s="112"/>
      <c r="C38" s="49">
        <v>16</v>
      </c>
      <c r="D38" s="211" t="s">
        <v>15</v>
      </c>
      <c r="E38" s="211" t="s">
        <v>15</v>
      </c>
      <c r="F38" s="211" t="s">
        <v>15</v>
      </c>
      <c r="G38" s="211" t="s">
        <v>15</v>
      </c>
      <c r="H38" s="211" t="s">
        <v>15</v>
      </c>
      <c r="I38" s="211" t="s">
        <v>15</v>
      </c>
      <c r="J38" s="49">
        <v>786</v>
      </c>
      <c r="K38" s="49">
        <v>5</v>
      </c>
      <c r="L38" s="211" t="s">
        <v>15</v>
      </c>
      <c r="M38" s="211" t="s">
        <v>15</v>
      </c>
      <c r="N38" s="211" t="s">
        <v>15</v>
      </c>
      <c r="O38" s="111"/>
      <c r="P38" s="50">
        <f t="shared" si="0"/>
        <v>807</v>
      </c>
      <c r="Q38" s="2"/>
    </row>
    <row r="39" spans="1:17" ht="12.75">
      <c r="A39" s="223">
        <v>1995</v>
      </c>
      <c r="B39" s="112"/>
      <c r="C39" s="49">
        <v>14</v>
      </c>
      <c r="D39" s="211" t="s">
        <v>15</v>
      </c>
      <c r="E39" s="211" t="s">
        <v>15</v>
      </c>
      <c r="F39" s="211" t="s">
        <v>15</v>
      </c>
      <c r="G39" s="211" t="s">
        <v>15</v>
      </c>
      <c r="H39" s="211" t="s">
        <v>15</v>
      </c>
      <c r="I39" s="211" t="s">
        <v>15</v>
      </c>
      <c r="J39" s="49">
        <v>636</v>
      </c>
      <c r="K39" s="49">
        <v>1</v>
      </c>
      <c r="L39" s="49">
        <v>1</v>
      </c>
      <c r="M39" s="211" t="s">
        <v>15</v>
      </c>
      <c r="N39" s="211" t="s">
        <v>15</v>
      </c>
      <c r="O39" s="111"/>
      <c r="P39" s="50">
        <f t="shared" si="0"/>
        <v>652</v>
      </c>
      <c r="Q39" s="2"/>
    </row>
    <row r="40" spans="1:17" ht="12.75">
      <c r="A40" s="223">
        <v>1996</v>
      </c>
      <c r="B40" s="112"/>
      <c r="C40" s="49">
        <v>15</v>
      </c>
      <c r="D40" s="211" t="s">
        <v>15</v>
      </c>
      <c r="E40" s="211" t="s">
        <v>15</v>
      </c>
      <c r="F40" s="211" t="s">
        <v>15</v>
      </c>
      <c r="G40" s="211" t="s">
        <v>15</v>
      </c>
      <c r="H40" s="211" t="s">
        <v>15</v>
      </c>
      <c r="I40" s="211" t="s">
        <v>15</v>
      </c>
      <c r="J40" s="49">
        <v>406</v>
      </c>
      <c r="K40" s="211" t="s">
        <v>15</v>
      </c>
      <c r="L40" s="49">
        <v>6</v>
      </c>
      <c r="M40" s="211">
        <v>89</v>
      </c>
      <c r="N40" s="211" t="s">
        <v>15</v>
      </c>
      <c r="O40" s="111"/>
      <c r="P40" s="50">
        <f t="shared" si="0"/>
        <v>516</v>
      </c>
      <c r="Q40" s="2"/>
    </row>
    <row r="41" spans="1:17" ht="12.75">
      <c r="A41" s="304">
        <v>1997</v>
      </c>
      <c r="B41" s="302"/>
      <c r="C41" s="305">
        <v>12</v>
      </c>
      <c r="D41" s="306" t="s">
        <v>15</v>
      </c>
      <c r="E41" s="306" t="s">
        <v>15</v>
      </c>
      <c r="F41" s="306" t="s">
        <v>15</v>
      </c>
      <c r="G41" s="306" t="s">
        <v>15</v>
      </c>
      <c r="H41" s="306" t="s">
        <v>15</v>
      </c>
      <c r="I41" s="306" t="s">
        <v>15</v>
      </c>
      <c r="J41" s="305">
        <v>182</v>
      </c>
      <c r="K41" s="306" t="s">
        <v>15</v>
      </c>
      <c r="L41" s="305">
        <v>1</v>
      </c>
      <c r="M41" s="306">
        <v>117</v>
      </c>
      <c r="N41" s="306">
        <v>66</v>
      </c>
      <c r="O41" s="303"/>
      <c r="P41" s="307">
        <f t="shared" si="0"/>
        <v>378</v>
      </c>
      <c r="Q41" s="2"/>
    </row>
    <row r="42" spans="1:17" ht="12.75">
      <c r="A42" s="304">
        <v>1998</v>
      </c>
      <c r="B42" s="302"/>
      <c r="C42" s="305">
        <v>12</v>
      </c>
      <c r="D42" s="306" t="s">
        <v>15</v>
      </c>
      <c r="E42" s="306" t="s">
        <v>15</v>
      </c>
      <c r="F42" s="306" t="s">
        <v>15</v>
      </c>
      <c r="G42" s="306" t="s">
        <v>15</v>
      </c>
      <c r="H42" s="306" t="s">
        <v>15</v>
      </c>
      <c r="I42" s="306" t="s">
        <v>15</v>
      </c>
      <c r="J42" s="305">
        <v>137</v>
      </c>
      <c r="K42" s="306" t="s">
        <v>15</v>
      </c>
      <c r="L42" s="306" t="s">
        <v>15</v>
      </c>
      <c r="M42" s="306">
        <v>95</v>
      </c>
      <c r="N42" s="306">
        <v>287</v>
      </c>
      <c r="O42" s="303"/>
      <c r="P42" s="307">
        <f t="shared" si="0"/>
        <v>531</v>
      </c>
      <c r="Q42" s="2"/>
    </row>
    <row r="43" spans="1:17" ht="12.75">
      <c r="A43" s="304">
        <v>1999</v>
      </c>
      <c r="B43" s="302"/>
      <c r="C43" s="305">
        <v>11</v>
      </c>
      <c r="D43" s="306" t="s">
        <v>15</v>
      </c>
      <c r="E43" s="306" t="s">
        <v>15</v>
      </c>
      <c r="F43" s="306" t="s">
        <v>15</v>
      </c>
      <c r="G43" s="306" t="s">
        <v>15</v>
      </c>
      <c r="H43" s="306" t="s">
        <v>15</v>
      </c>
      <c r="I43" s="306" t="s">
        <v>15</v>
      </c>
      <c r="J43" s="305">
        <v>136</v>
      </c>
      <c r="K43" s="306" t="s">
        <v>15</v>
      </c>
      <c r="L43" s="306" t="s">
        <v>15</v>
      </c>
      <c r="M43" s="306">
        <v>51</v>
      </c>
      <c r="N43" s="306">
        <v>102</v>
      </c>
      <c r="O43" s="303"/>
      <c r="P43" s="307">
        <f t="shared" si="0"/>
        <v>300</v>
      </c>
      <c r="Q43" s="2"/>
    </row>
    <row r="44" spans="1:17" ht="12.75">
      <c r="A44" s="304">
        <v>2000</v>
      </c>
      <c r="B44" s="302"/>
      <c r="C44" s="305">
        <v>8</v>
      </c>
      <c r="D44" s="306" t="s">
        <v>15</v>
      </c>
      <c r="E44" s="306" t="s">
        <v>15</v>
      </c>
      <c r="F44" s="306" t="s">
        <v>15</v>
      </c>
      <c r="G44" s="306" t="s">
        <v>15</v>
      </c>
      <c r="H44" s="306" t="s">
        <v>15</v>
      </c>
      <c r="I44" s="306" t="s">
        <v>15</v>
      </c>
      <c r="J44" s="305">
        <v>127</v>
      </c>
      <c r="K44" s="306" t="s">
        <v>15</v>
      </c>
      <c r="L44" s="306" t="s">
        <v>15</v>
      </c>
      <c r="M44" s="306">
        <v>38</v>
      </c>
      <c r="N44" s="306">
        <v>56</v>
      </c>
      <c r="O44" s="303"/>
      <c r="P44" s="307">
        <f t="shared" si="0"/>
        <v>229</v>
      </c>
      <c r="Q44" s="2"/>
    </row>
    <row r="45" spans="1:16" ht="12.75">
      <c r="A45" s="304">
        <v>2001</v>
      </c>
      <c r="B45" s="302"/>
      <c r="C45" s="305">
        <v>8</v>
      </c>
      <c r="D45" s="306" t="s">
        <v>15</v>
      </c>
      <c r="E45" s="306" t="s">
        <v>15</v>
      </c>
      <c r="F45" s="306" t="s">
        <v>15</v>
      </c>
      <c r="G45" s="306" t="s">
        <v>15</v>
      </c>
      <c r="H45" s="306" t="s">
        <v>15</v>
      </c>
      <c r="I45" s="306" t="s">
        <v>15</v>
      </c>
      <c r="J45" s="305">
        <v>120</v>
      </c>
      <c r="K45" s="306" t="s">
        <v>15</v>
      </c>
      <c r="L45" s="306" t="s">
        <v>15</v>
      </c>
      <c r="M45" s="306">
        <v>166</v>
      </c>
      <c r="N45" s="306">
        <v>44</v>
      </c>
      <c r="O45" s="303"/>
      <c r="P45" s="307">
        <f t="shared" si="0"/>
        <v>338</v>
      </c>
    </row>
    <row r="46" spans="1:16" ht="12.75">
      <c r="A46" s="304">
        <v>2002</v>
      </c>
      <c r="B46" s="302"/>
      <c r="C46" s="305">
        <v>8</v>
      </c>
      <c r="D46" s="306" t="s">
        <v>15</v>
      </c>
      <c r="E46" s="306" t="s">
        <v>15</v>
      </c>
      <c r="F46" s="306" t="s">
        <v>15</v>
      </c>
      <c r="G46" s="306" t="s">
        <v>15</v>
      </c>
      <c r="H46" s="306" t="s">
        <v>15</v>
      </c>
      <c r="I46" s="306" t="s">
        <v>15</v>
      </c>
      <c r="J46" s="305">
        <v>108</v>
      </c>
      <c r="K46" s="306" t="s">
        <v>15</v>
      </c>
      <c r="L46" s="306" t="s">
        <v>15</v>
      </c>
      <c r="M46" s="306">
        <v>167</v>
      </c>
      <c r="N46" s="306">
        <v>33</v>
      </c>
      <c r="O46" s="303"/>
      <c r="P46" s="307">
        <f t="shared" si="0"/>
        <v>316</v>
      </c>
    </row>
    <row r="47" spans="1:16" ht="12.75">
      <c r="A47" s="304">
        <v>2003</v>
      </c>
      <c r="B47" s="302"/>
      <c r="C47" s="305">
        <v>7</v>
      </c>
      <c r="D47" s="306" t="s">
        <v>15</v>
      </c>
      <c r="E47" s="306" t="s">
        <v>15</v>
      </c>
      <c r="F47" s="306" t="s">
        <v>15</v>
      </c>
      <c r="G47" s="306" t="s">
        <v>15</v>
      </c>
      <c r="H47" s="306" t="s">
        <v>15</v>
      </c>
      <c r="I47" s="306" t="s">
        <v>15</v>
      </c>
      <c r="J47" s="305">
        <v>230</v>
      </c>
      <c r="K47" s="306" t="s">
        <v>15</v>
      </c>
      <c r="L47" s="306" t="s">
        <v>15</v>
      </c>
      <c r="M47" s="306">
        <v>63</v>
      </c>
      <c r="N47" s="306">
        <v>20</v>
      </c>
      <c r="O47" s="303"/>
      <c r="P47" s="307">
        <f t="shared" si="0"/>
        <v>320</v>
      </c>
    </row>
    <row r="48" spans="1:16" ht="12.75">
      <c r="A48" s="394">
        <v>2004</v>
      </c>
      <c r="B48" s="2"/>
      <c r="C48" s="2">
        <v>6</v>
      </c>
      <c r="D48" s="296" t="s">
        <v>15</v>
      </c>
      <c r="E48" s="296" t="s">
        <v>15</v>
      </c>
      <c r="F48" s="296" t="s">
        <v>15</v>
      </c>
      <c r="G48" s="296" t="s">
        <v>15</v>
      </c>
      <c r="H48" s="296" t="s">
        <v>15</v>
      </c>
      <c r="I48" s="296" t="s">
        <v>15</v>
      </c>
      <c r="J48" s="2">
        <v>173</v>
      </c>
      <c r="K48" s="296" t="s">
        <v>15</v>
      </c>
      <c r="L48" s="296" t="s">
        <v>15</v>
      </c>
      <c r="M48" s="2">
        <v>55</v>
      </c>
      <c r="N48" s="2">
        <v>21</v>
      </c>
      <c r="O48" s="2"/>
      <c r="P48" s="395">
        <f t="shared" si="0"/>
        <v>255</v>
      </c>
    </row>
    <row r="49" spans="1:16" ht="12.75">
      <c r="A49" s="402">
        <v>2005</v>
      </c>
      <c r="B49" s="403"/>
      <c r="C49" s="403">
        <v>6</v>
      </c>
      <c r="D49" s="404" t="s">
        <v>15</v>
      </c>
      <c r="E49" s="404" t="s">
        <v>15</v>
      </c>
      <c r="F49" s="404" t="s">
        <v>15</v>
      </c>
      <c r="G49" s="404" t="s">
        <v>15</v>
      </c>
      <c r="H49" s="404" t="s">
        <v>15</v>
      </c>
      <c r="I49" s="404" t="s">
        <v>15</v>
      </c>
      <c r="J49" s="403">
        <v>100</v>
      </c>
      <c r="K49" s="404" t="s">
        <v>15</v>
      </c>
      <c r="L49" s="404" t="s">
        <v>15</v>
      </c>
      <c r="M49" s="403">
        <v>34</v>
      </c>
      <c r="N49" s="403">
        <v>26</v>
      </c>
      <c r="O49" s="403"/>
      <c r="P49" s="405">
        <f t="shared" si="0"/>
        <v>166</v>
      </c>
    </row>
    <row r="50" spans="1:16" ht="13.5" thickBot="1">
      <c r="A50" s="396">
        <v>2006</v>
      </c>
      <c r="B50" s="397"/>
      <c r="C50" s="397">
        <v>5</v>
      </c>
      <c r="D50" s="398" t="s">
        <v>15</v>
      </c>
      <c r="E50" s="398" t="s">
        <v>15</v>
      </c>
      <c r="F50" s="398" t="s">
        <v>15</v>
      </c>
      <c r="G50" s="398" t="s">
        <v>15</v>
      </c>
      <c r="H50" s="398" t="s">
        <v>15</v>
      </c>
      <c r="I50" s="398" t="s">
        <v>15</v>
      </c>
      <c r="J50" s="397">
        <v>67</v>
      </c>
      <c r="K50" s="398" t="s">
        <v>15</v>
      </c>
      <c r="L50" s="398" t="s">
        <v>15</v>
      </c>
      <c r="M50" s="397">
        <v>35</v>
      </c>
      <c r="N50" s="397">
        <v>33</v>
      </c>
      <c r="O50" s="397"/>
      <c r="P50" s="399">
        <f>SUM(C50:O50)</f>
        <v>140</v>
      </c>
    </row>
    <row r="51" spans="1:16" ht="13.5" thickTop="1">
      <c r="A51" s="295"/>
      <c r="B51" s="2"/>
      <c r="C51" s="2"/>
      <c r="D51" s="296"/>
      <c r="E51" s="296"/>
      <c r="F51" s="296"/>
      <c r="G51" s="296"/>
      <c r="H51" s="296"/>
      <c r="I51" s="296"/>
      <c r="J51" s="2"/>
      <c r="K51" s="296"/>
      <c r="L51" s="2"/>
      <c r="M51" s="2"/>
      <c r="N51" s="2"/>
      <c r="O51" s="2"/>
      <c r="P51" s="3"/>
    </row>
    <row r="52" spans="3:11" ht="20.25">
      <c r="C52" s="419"/>
      <c r="D52" s="420"/>
      <c r="E52" s="420"/>
      <c r="F52" s="56"/>
      <c r="G52" s="56"/>
      <c r="H52" s="56"/>
      <c r="I52" s="56"/>
      <c r="J52" s="56"/>
      <c r="K52" s="56"/>
    </row>
    <row r="53" spans="3:11" ht="20.25">
      <c r="C53" s="421"/>
      <c r="D53" s="422"/>
      <c r="E53" s="422"/>
      <c r="F53" s="422"/>
      <c r="G53" s="422"/>
      <c r="H53" s="422"/>
      <c r="I53" s="56"/>
      <c r="J53" s="56"/>
      <c r="K53" s="56"/>
    </row>
    <row r="138" spans="1:3" ht="12.75">
      <c r="A138" s="206"/>
      <c r="C138" s="202"/>
    </row>
  </sheetData>
  <printOptions horizontalCentered="1"/>
  <pageMargins left="0.5905511811023623" right="0.3937007874015748" top="0.3937007874015748" bottom="0.3937007874015748" header="0.5118110236220472" footer="0.2362204724409449"/>
  <pageSetup fitToHeight="1" fitToWidth="1" horizontalDpi="300" verticalDpi="300" orientation="landscape" paperSize="9" scale="85" r:id="rId2"/>
  <headerFooter alignWithMargins="0">
    <oddFooter>&amp;C&amp;9 3.9&amp;R&amp;9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Producción / Production</dc:title>
  <dc:subject/>
  <dc:creator/>
  <cp:keywords/>
  <dc:description/>
  <cp:lastModifiedBy>lmazon</cp:lastModifiedBy>
  <cp:lastPrinted>2007-03-05T09:18:14Z</cp:lastPrinted>
  <dcterms:created xsi:type="dcterms:W3CDTF">2002-07-08T11:56:43Z</dcterms:created>
  <dcterms:modified xsi:type="dcterms:W3CDTF">2007-03-05T09:18:16Z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3.00000000000000</vt:lpwstr>
  </property>
  <property fmtid="{D5CDD505-2E9C-101B-9397-08002B2CF9AE}" pid="5" name="ContentTy">
    <vt:lpwstr>Documento</vt:lpwstr>
  </property>
  <property fmtid="{D5CDD505-2E9C-101B-9397-08002B2CF9AE}" pid="6" name="MCLDOrd">
    <vt:lpwstr>400.000000000000</vt:lpwstr>
  </property>
</Properties>
</file>